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arhuskommune.sharepoint.com/Sites/afd-afdsite3516/Delte dokumenter/Ejendomsprojekter/Solcelleprojekt/Business case/"/>
    </mc:Choice>
  </mc:AlternateContent>
  <xr:revisionPtr revIDLastSave="0" documentId="8_{51D719F6-4F1C-4870-A1C0-0612D9FE68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se juni 2022" sheetId="3" r:id="rId1"/>
    <sheet name="detailbudget" sheetId="4" r:id="rId2"/>
    <sheet name="Beregning KL" sheetId="1" state="hidden" r:id="rId3"/>
    <sheet name="Likviditet" sheetId="2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3" l="1"/>
  <c r="B5" i="4"/>
  <c r="D5" i="4"/>
  <c r="B6" i="4"/>
  <c r="C6" i="4"/>
  <c r="D6" i="4"/>
  <c r="B7" i="4"/>
  <c r="D7" i="4"/>
  <c r="B8" i="4"/>
  <c r="B15" i="4" s="1"/>
  <c r="D8" i="4"/>
  <c r="B9" i="4"/>
  <c r="B16" i="4" s="1"/>
  <c r="D9" i="4"/>
  <c r="B10" i="4"/>
  <c r="B17" i="4" s="1"/>
  <c r="D10" i="4"/>
  <c r="B11" i="4"/>
  <c r="D11" i="4"/>
  <c r="D4" i="4"/>
  <c r="B4" i="4"/>
  <c r="C41" i="3"/>
  <c r="C40" i="3"/>
  <c r="C39" i="3"/>
  <c r="C22" i="3"/>
  <c r="C12" i="3"/>
  <c r="C14" i="3" s="1"/>
  <c r="C7" i="4" s="1"/>
  <c r="C11" i="3"/>
  <c r="C15" i="3" s="1"/>
  <c r="C8" i="4" s="1"/>
  <c r="C5" i="4" l="1"/>
  <c r="C16" i="3"/>
  <c r="C9" i="4" s="1"/>
  <c r="C4" i="4"/>
  <c r="C15" i="4" s="1"/>
  <c r="C22" i="1"/>
  <c r="C10" i="1"/>
  <c r="F9" i="1"/>
  <c r="F8" i="1"/>
  <c r="C13" i="1"/>
  <c r="F13" i="1" s="1"/>
  <c r="E7" i="1" s="1"/>
  <c r="D48" i="3"/>
  <c r="Q57" i="3"/>
  <c r="Q77" i="3" s="1"/>
  <c r="R77" i="3" s="1"/>
  <c r="S77" i="3" s="1"/>
  <c r="T77" i="3" s="1"/>
  <c r="U77" i="3" s="1"/>
  <c r="V77" i="3" s="1"/>
  <c r="W77" i="3" s="1"/>
  <c r="X77" i="3" s="1"/>
  <c r="Y77" i="3" s="1"/>
  <c r="Z77" i="3" s="1"/>
  <c r="AA77" i="3" s="1"/>
  <c r="AB77" i="3" s="1"/>
  <c r="AC77" i="3" s="1"/>
  <c r="B91" i="3"/>
  <c r="B90" i="3"/>
  <c r="B88" i="3"/>
  <c r="G64" i="3"/>
  <c r="H64" i="3" s="1"/>
  <c r="I64" i="3" s="1"/>
  <c r="J64" i="3" s="1"/>
  <c r="K64" i="3" s="1"/>
  <c r="L64" i="3" s="1"/>
  <c r="M64" i="3" s="1"/>
  <c r="N64" i="3" s="1"/>
  <c r="O64" i="3" s="1"/>
  <c r="P64" i="3" s="1"/>
  <c r="Q64" i="3" s="1"/>
  <c r="R64" i="3" s="1"/>
  <c r="S64" i="3" s="1"/>
  <c r="T64" i="3" s="1"/>
  <c r="U64" i="3" s="1"/>
  <c r="V64" i="3" s="1"/>
  <c r="W64" i="3" s="1"/>
  <c r="X64" i="3" s="1"/>
  <c r="Y64" i="3" s="1"/>
  <c r="Z64" i="3" s="1"/>
  <c r="AA64" i="3" s="1"/>
  <c r="AB64" i="3" s="1"/>
  <c r="AC64" i="3" s="1"/>
  <c r="AD64" i="3" s="1"/>
  <c r="AE64" i="3" s="1"/>
  <c r="AF64" i="3" s="1"/>
  <c r="AG64" i="3" s="1"/>
  <c r="AH64" i="3" s="1"/>
  <c r="C47" i="1"/>
  <c r="D48" i="1"/>
  <c r="C48" i="1"/>
  <c r="C12" i="1"/>
  <c r="C33" i="1"/>
  <c r="C32" i="1"/>
  <c r="C17" i="1"/>
  <c r="C16" i="4" l="1"/>
  <c r="C17" i="3"/>
  <c r="C10" i="4" s="1"/>
  <c r="C17" i="4" s="1"/>
  <c r="D17" i="4" s="1"/>
  <c r="E14" i="1"/>
  <c r="C42" i="3"/>
  <c r="C58" i="3" s="1"/>
  <c r="D58" i="3" s="1"/>
  <c r="G58" i="3" s="1"/>
  <c r="H58" i="3" s="1"/>
  <c r="I58" i="3" s="1"/>
  <c r="J58" i="3" s="1"/>
  <c r="K58" i="3" s="1"/>
  <c r="L58" i="3" s="1"/>
  <c r="M58" i="3" s="1"/>
  <c r="N58" i="3" s="1"/>
  <c r="O58" i="3" s="1"/>
  <c r="P58" i="3" s="1"/>
  <c r="Q58" i="3" s="1"/>
  <c r="R58" i="3" s="1"/>
  <c r="S58" i="3" s="1"/>
  <c r="T58" i="3" s="1"/>
  <c r="U58" i="3" s="1"/>
  <c r="V58" i="3" s="1"/>
  <c r="W58" i="3" s="1"/>
  <c r="X58" i="3" s="1"/>
  <c r="Y58" i="3" s="1"/>
  <c r="Z58" i="3" s="1"/>
  <c r="AA58" i="3" s="1"/>
  <c r="AB58" i="3" s="1"/>
  <c r="AC58" i="3" s="1"/>
  <c r="AD58" i="3" s="1"/>
  <c r="AE58" i="3" s="1"/>
  <c r="AF58" i="3" s="1"/>
  <c r="AG58" i="3" s="1"/>
  <c r="AH58" i="3" s="1"/>
  <c r="C54" i="3"/>
  <c r="D54" i="3" s="1"/>
  <c r="C53" i="3"/>
  <c r="D53" i="3" s="1"/>
  <c r="G53" i="3" s="1"/>
  <c r="B84" i="1"/>
  <c r="B83" i="1"/>
  <c r="B81" i="1"/>
  <c r="E58" i="1"/>
  <c r="O51" i="1"/>
  <c r="O71" i="1" s="1"/>
  <c r="P71" i="1" s="1"/>
  <c r="Q71" i="1" s="1"/>
  <c r="R71" i="1" s="1"/>
  <c r="S71" i="1" s="1"/>
  <c r="T71" i="1" s="1"/>
  <c r="U71" i="1" s="1"/>
  <c r="V71" i="1" s="1"/>
  <c r="W71" i="1" s="1"/>
  <c r="X71" i="1" s="1"/>
  <c r="Y71" i="1" s="1"/>
  <c r="Z71" i="1" s="1"/>
  <c r="AA71" i="1" s="1"/>
  <c r="C18" i="3" l="1"/>
  <c r="V61" i="3" s="1"/>
  <c r="C55" i="3"/>
  <c r="E11" i="3"/>
  <c r="D55" i="3"/>
  <c r="G54" i="3"/>
  <c r="H53" i="3"/>
  <c r="D59" i="3"/>
  <c r="C49" i="1"/>
  <c r="D47" i="1"/>
  <c r="E47" i="1" s="1"/>
  <c r="C54" i="1"/>
  <c r="F58" i="1"/>
  <c r="G58" i="1" s="1"/>
  <c r="H58" i="1" s="1"/>
  <c r="I58" i="1" s="1"/>
  <c r="J58" i="1" s="1"/>
  <c r="K58" i="1" s="1"/>
  <c r="L58" i="1" s="1"/>
  <c r="M58" i="1" s="1"/>
  <c r="N58" i="1" s="1"/>
  <c r="O58" i="1" s="1"/>
  <c r="P58" i="1" s="1"/>
  <c r="Q58" i="1" s="1"/>
  <c r="R58" i="1" s="1"/>
  <c r="S58" i="1" s="1"/>
  <c r="T58" i="1" s="1"/>
  <c r="U58" i="1" s="1"/>
  <c r="V58" i="1" s="1"/>
  <c r="W58" i="1" s="1"/>
  <c r="X58" i="1" s="1"/>
  <c r="Y58" i="1" s="1"/>
  <c r="Z58" i="1" s="1"/>
  <c r="Q61" i="3" l="1"/>
  <c r="C61" i="3"/>
  <c r="AE61" i="3"/>
  <c r="R60" i="3"/>
  <c r="G61" i="3"/>
  <c r="M60" i="3"/>
  <c r="R61" i="3"/>
  <c r="P60" i="3"/>
  <c r="Z61" i="3"/>
  <c r="W61" i="3"/>
  <c r="J60" i="3"/>
  <c r="I60" i="3"/>
  <c r="X60" i="3"/>
  <c r="L61" i="3"/>
  <c r="U60" i="3"/>
  <c r="M61" i="3"/>
  <c r="AB60" i="3"/>
  <c r="K61" i="3"/>
  <c r="W60" i="3"/>
  <c r="AA60" i="3"/>
  <c r="Q60" i="3"/>
  <c r="AF61" i="3"/>
  <c r="L60" i="3"/>
  <c r="I61" i="3"/>
  <c r="K60" i="3"/>
  <c r="J61" i="3"/>
  <c r="T61" i="3"/>
  <c r="T60" i="3"/>
  <c r="Z60" i="3"/>
  <c r="AH61" i="3"/>
  <c r="AG61" i="3"/>
  <c r="H61" i="3"/>
  <c r="AB61" i="3"/>
  <c r="D61" i="3"/>
  <c r="AC60" i="3"/>
  <c r="AF60" i="3"/>
  <c r="AA61" i="3"/>
  <c r="U61" i="3"/>
  <c r="C60" i="3"/>
  <c r="C62" i="3" s="1"/>
  <c r="C90" i="3" s="1"/>
  <c r="AD60" i="3"/>
  <c r="Y61" i="3"/>
  <c r="AH60" i="3"/>
  <c r="AD61" i="3"/>
  <c r="N61" i="3"/>
  <c r="Y60" i="3"/>
  <c r="N60" i="3"/>
  <c r="D60" i="3"/>
  <c r="D63" i="3" s="1"/>
  <c r="D91" i="3" s="1"/>
  <c r="S61" i="3"/>
  <c r="AE60" i="3"/>
  <c r="AC61" i="3"/>
  <c r="X61" i="3"/>
  <c r="AG60" i="3"/>
  <c r="S60" i="3"/>
  <c r="V60" i="3"/>
  <c r="H60" i="3"/>
  <c r="P61" i="3"/>
  <c r="G60" i="3"/>
  <c r="O60" i="3"/>
  <c r="O61" i="3"/>
  <c r="C11" i="4"/>
  <c r="C88" i="3"/>
  <c r="G55" i="3"/>
  <c r="H54" i="3"/>
  <c r="D88" i="3"/>
  <c r="G59" i="3"/>
  <c r="I53" i="3"/>
  <c r="D53" i="1"/>
  <c r="K55" i="1"/>
  <c r="S55" i="1"/>
  <c r="AA55" i="1"/>
  <c r="AD55" i="1"/>
  <c r="D55" i="1"/>
  <c r="L55" i="1"/>
  <c r="T55" i="1"/>
  <c r="AB55" i="1"/>
  <c r="V55" i="1"/>
  <c r="P55" i="1"/>
  <c r="Q55" i="1"/>
  <c r="R55" i="1"/>
  <c r="E55" i="1"/>
  <c r="M55" i="1"/>
  <c r="U55" i="1"/>
  <c r="AC55" i="1"/>
  <c r="N55" i="1"/>
  <c r="AF55" i="1"/>
  <c r="I55" i="1"/>
  <c r="C55" i="1"/>
  <c r="Z55" i="1"/>
  <c r="F55" i="1"/>
  <c r="G55" i="1"/>
  <c r="O55" i="1"/>
  <c r="W55" i="1"/>
  <c r="AE55" i="1"/>
  <c r="X55" i="1"/>
  <c r="Y55" i="1"/>
  <c r="J55" i="1"/>
  <c r="H55" i="1"/>
  <c r="F47" i="1"/>
  <c r="AA58" i="1"/>
  <c r="AB58" i="1" s="1"/>
  <c r="AC58" i="1" s="1"/>
  <c r="AD58" i="1" s="1"/>
  <c r="AE58" i="1" s="1"/>
  <c r="AF58" i="1" s="1"/>
  <c r="C81" i="1"/>
  <c r="AC54" i="1"/>
  <c r="AD54" i="1"/>
  <c r="AE54" i="1"/>
  <c r="AA54" i="1"/>
  <c r="AF54" i="1"/>
  <c r="AB54" i="1"/>
  <c r="D49" i="1"/>
  <c r="D81" i="1" s="1"/>
  <c r="R54" i="1"/>
  <c r="Y54" i="1"/>
  <c r="E54" i="1"/>
  <c r="K54" i="1"/>
  <c r="S54" i="1"/>
  <c r="Z54" i="1"/>
  <c r="U54" i="1"/>
  <c r="Q54" i="1"/>
  <c r="H54" i="1"/>
  <c r="W54" i="1"/>
  <c r="O54" i="1"/>
  <c r="G54" i="1"/>
  <c r="V54" i="1"/>
  <c r="M54" i="1"/>
  <c r="I54" i="1"/>
  <c r="J54" i="1"/>
  <c r="X54" i="1"/>
  <c r="N54" i="1"/>
  <c r="T54" i="1"/>
  <c r="P54" i="1"/>
  <c r="F54" i="1"/>
  <c r="D54" i="1"/>
  <c r="L54" i="1"/>
  <c r="E48" i="1"/>
  <c r="C35" i="1"/>
  <c r="C52" i="1" s="1"/>
  <c r="C56" i="1" s="1"/>
  <c r="C65" i="3" l="1"/>
  <c r="D62" i="3"/>
  <c r="D90" i="3" s="1"/>
  <c r="D65" i="3"/>
  <c r="G62" i="3"/>
  <c r="G90" i="3" s="1"/>
  <c r="C63" i="3"/>
  <c r="H55" i="3"/>
  <c r="I54" i="3"/>
  <c r="I59" i="3" s="1"/>
  <c r="I62" i="3" s="1"/>
  <c r="I90" i="3" s="1"/>
  <c r="J53" i="3"/>
  <c r="G65" i="3"/>
  <c r="G63" i="3"/>
  <c r="G91" i="3" s="1"/>
  <c r="G88" i="3"/>
  <c r="H59" i="3"/>
  <c r="H62" i="3" s="1"/>
  <c r="H90" i="3" s="1"/>
  <c r="C57" i="1"/>
  <c r="C59" i="1"/>
  <c r="C58" i="1"/>
  <c r="C83" i="1"/>
  <c r="F48" i="1"/>
  <c r="E49" i="1"/>
  <c r="D52" i="1"/>
  <c r="D59" i="1" s="1"/>
  <c r="C91" i="3" l="1"/>
  <c r="J54" i="3"/>
  <c r="J59" i="3" s="1"/>
  <c r="J62" i="3" s="1"/>
  <c r="J90" i="3" s="1"/>
  <c r="I55" i="3"/>
  <c r="K53" i="3"/>
  <c r="H63" i="3"/>
  <c r="H88" i="3"/>
  <c r="H65" i="3"/>
  <c r="C84" i="1"/>
  <c r="E81" i="1"/>
  <c r="D56" i="1"/>
  <c r="D83" i="1" s="1"/>
  <c r="D57" i="1"/>
  <c r="G48" i="1"/>
  <c r="F49" i="1"/>
  <c r="E52" i="1"/>
  <c r="E53" i="1"/>
  <c r="H91" i="3" l="1"/>
  <c r="L53" i="3"/>
  <c r="I88" i="3"/>
  <c r="I63" i="3"/>
  <c r="I91" i="3" s="1"/>
  <c r="I65" i="3"/>
  <c r="K54" i="3"/>
  <c r="J55" i="3"/>
  <c r="E59" i="1"/>
  <c r="F81" i="1"/>
  <c r="D84" i="1"/>
  <c r="E56" i="1"/>
  <c r="E83" i="1" s="1"/>
  <c r="H48" i="1"/>
  <c r="F52" i="1"/>
  <c r="E57" i="1"/>
  <c r="F53" i="1"/>
  <c r="F59" i="1" s="1"/>
  <c r="G47" i="1"/>
  <c r="J63" i="3" l="1"/>
  <c r="J88" i="3"/>
  <c r="J65" i="3"/>
  <c r="L54" i="3"/>
  <c r="L59" i="3" s="1"/>
  <c r="L62" i="3" s="1"/>
  <c r="L90" i="3" s="1"/>
  <c r="K55" i="3"/>
  <c r="K59" i="3"/>
  <c r="K62" i="3" s="1"/>
  <c r="K90" i="3" s="1"/>
  <c r="M53" i="3"/>
  <c r="F56" i="1"/>
  <c r="F83" i="1" s="1"/>
  <c r="I48" i="1"/>
  <c r="E84" i="1"/>
  <c r="G52" i="1"/>
  <c r="H52" i="1" s="1"/>
  <c r="I52" i="1" s="1"/>
  <c r="J52" i="1" s="1"/>
  <c r="K52" i="1" s="1"/>
  <c r="L52" i="1" s="1"/>
  <c r="M52" i="1" s="1"/>
  <c r="N52" i="1" s="1"/>
  <c r="O52" i="1" s="1"/>
  <c r="P52" i="1" s="1"/>
  <c r="Q52" i="1" s="1"/>
  <c r="R52" i="1" s="1"/>
  <c r="S52" i="1" s="1"/>
  <c r="T52" i="1" s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F57" i="1"/>
  <c r="G49" i="1"/>
  <c r="G81" i="1" s="1"/>
  <c r="G53" i="1"/>
  <c r="H47" i="1"/>
  <c r="J91" i="3" l="1"/>
  <c r="N53" i="3"/>
  <c r="K88" i="3"/>
  <c r="K63" i="3"/>
  <c r="K91" i="3" s="1"/>
  <c r="K65" i="3"/>
  <c r="L55" i="3"/>
  <c r="M54" i="3"/>
  <c r="M59" i="3" s="1"/>
  <c r="M62" i="3" s="1"/>
  <c r="M90" i="3" s="1"/>
  <c r="G59" i="1"/>
  <c r="F84" i="1"/>
  <c r="G57" i="1"/>
  <c r="H49" i="1"/>
  <c r="H81" i="1" s="1"/>
  <c r="G56" i="1"/>
  <c r="G83" i="1" s="1"/>
  <c r="J48" i="1"/>
  <c r="H53" i="1"/>
  <c r="I47" i="1"/>
  <c r="L65" i="3" l="1"/>
  <c r="L63" i="3"/>
  <c r="L91" i="3" s="1"/>
  <c r="L88" i="3"/>
  <c r="M55" i="3"/>
  <c r="N54" i="3"/>
  <c r="N59" i="3" s="1"/>
  <c r="N62" i="3" s="1"/>
  <c r="N90" i="3" s="1"/>
  <c r="O53" i="3"/>
  <c r="H59" i="1"/>
  <c r="H56" i="1"/>
  <c r="H83" i="1" s="1"/>
  <c r="K48" i="1"/>
  <c r="I49" i="1"/>
  <c r="I81" i="1" s="1"/>
  <c r="H57" i="1"/>
  <c r="G84" i="1"/>
  <c r="I53" i="1"/>
  <c r="J47" i="1"/>
  <c r="P53" i="3" l="1"/>
  <c r="N55" i="3"/>
  <c r="O54" i="3"/>
  <c r="O59" i="3" s="1"/>
  <c r="O62" i="3" s="1"/>
  <c r="O90" i="3" s="1"/>
  <c r="M65" i="3"/>
  <c r="M63" i="3"/>
  <c r="M88" i="3"/>
  <c r="H84" i="1"/>
  <c r="I59" i="1"/>
  <c r="J49" i="1"/>
  <c r="J81" i="1" s="1"/>
  <c r="I56" i="1"/>
  <c r="I83" i="1" s="1"/>
  <c r="I57" i="1"/>
  <c r="L48" i="1"/>
  <c r="J53" i="1"/>
  <c r="K47" i="1"/>
  <c r="M91" i="3" l="1"/>
  <c r="O55" i="3"/>
  <c r="P54" i="3"/>
  <c r="P59" i="3" s="1"/>
  <c r="P62" i="3" s="1"/>
  <c r="P90" i="3" s="1"/>
  <c r="N65" i="3"/>
  <c r="N63" i="3"/>
  <c r="N91" i="3" s="1"/>
  <c r="N88" i="3"/>
  <c r="Q53" i="3"/>
  <c r="J59" i="1"/>
  <c r="J56" i="1"/>
  <c r="J83" i="1" s="1"/>
  <c r="M48" i="1"/>
  <c r="L47" i="1"/>
  <c r="J57" i="1"/>
  <c r="J84" i="1" s="1"/>
  <c r="K49" i="1"/>
  <c r="K81" i="1" s="1"/>
  <c r="I84" i="1"/>
  <c r="K53" i="1"/>
  <c r="R53" i="3" l="1"/>
  <c r="P55" i="3"/>
  <c r="Q54" i="3"/>
  <c r="Q59" i="3" s="1"/>
  <c r="Q62" i="3" s="1"/>
  <c r="Q90" i="3" s="1"/>
  <c r="O65" i="3"/>
  <c r="O63" i="3"/>
  <c r="O91" i="3" s="1"/>
  <c r="O88" i="3"/>
  <c r="K59" i="1"/>
  <c r="L49" i="1"/>
  <c r="L81" i="1" s="1"/>
  <c r="K56" i="1"/>
  <c r="K83" i="1" s="1"/>
  <c r="M47" i="1"/>
  <c r="K57" i="1"/>
  <c r="L53" i="1"/>
  <c r="N48" i="1"/>
  <c r="R54" i="3" l="1"/>
  <c r="R59" i="3" s="1"/>
  <c r="R62" i="3" s="1"/>
  <c r="R90" i="3" s="1"/>
  <c r="Q55" i="3"/>
  <c r="P63" i="3"/>
  <c r="P91" i="3" s="1"/>
  <c r="P88" i="3"/>
  <c r="P65" i="3"/>
  <c r="S53" i="3"/>
  <c r="L59" i="1"/>
  <c r="M49" i="1"/>
  <c r="M81" i="1" s="1"/>
  <c r="L56" i="1"/>
  <c r="L83" i="1" s="1"/>
  <c r="N47" i="1"/>
  <c r="M53" i="1"/>
  <c r="L57" i="1"/>
  <c r="L84" i="1" s="1"/>
  <c r="O48" i="1"/>
  <c r="K84" i="1"/>
  <c r="Q88" i="3" l="1"/>
  <c r="Q63" i="3"/>
  <c r="Q91" i="3" s="1"/>
  <c r="Q65" i="3"/>
  <c r="T53" i="3"/>
  <c r="S54" i="3"/>
  <c r="R55" i="3"/>
  <c r="M59" i="1"/>
  <c r="N49" i="1"/>
  <c r="N81" i="1" s="1"/>
  <c r="M56" i="1"/>
  <c r="M83" i="1" s="1"/>
  <c r="M57" i="1"/>
  <c r="M84" i="1" s="1"/>
  <c r="O47" i="1"/>
  <c r="N53" i="1"/>
  <c r="P48" i="1"/>
  <c r="R63" i="3" l="1"/>
  <c r="R91" i="3" s="1"/>
  <c r="R88" i="3"/>
  <c r="R65" i="3"/>
  <c r="T54" i="3"/>
  <c r="T59" i="3" s="1"/>
  <c r="T62" i="3" s="1"/>
  <c r="T90" i="3" s="1"/>
  <c r="S55" i="3"/>
  <c r="U53" i="3"/>
  <c r="S59" i="3"/>
  <c r="S62" i="3" s="1"/>
  <c r="S90" i="3" s="1"/>
  <c r="N59" i="1"/>
  <c r="P47" i="1"/>
  <c r="P53" i="1" s="1"/>
  <c r="N56" i="1"/>
  <c r="N83" i="1" s="1"/>
  <c r="N57" i="1"/>
  <c r="N84" i="1" s="1"/>
  <c r="O53" i="1"/>
  <c r="O49" i="1"/>
  <c r="O81" i="1" s="1"/>
  <c r="Q48" i="1"/>
  <c r="V53" i="3" l="1"/>
  <c r="S88" i="3"/>
  <c r="S65" i="3"/>
  <c r="S63" i="3"/>
  <c r="S91" i="3" s="1"/>
  <c r="T55" i="3"/>
  <c r="U54" i="3"/>
  <c r="P49" i="1"/>
  <c r="P81" i="1" s="1"/>
  <c r="Q47" i="1"/>
  <c r="Q53" i="1" s="1"/>
  <c r="O59" i="1"/>
  <c r="P56" i="1"/>
  <c r="P83" i="1" s="1"/>
  <c r="O56" i="1"/>
  <c r="O83" i="1" s="1"/>
  <c r="O57" i="1"/>
  <c r="O84" i="1" s="1"/>
  <c r="R48" i="1"/>
  <c r="U55" i="3" l="1"/>
  <c r="V54" i="3"/>
  <c r="V59" i="3" s="1"/>
  <c r="V62" i="3" s="1"/>
  <c r="V90" i="3" s="1"/>
  <c r="T65" i="3"/>
  <c r="T63" i="3"/>
  <c r="T91" i="3" s="1"/>
  <c r="T88" i="3"/>
  <c r="W53" i="3"/>
  <c r="U59" i="3"/>
  <c r="U62" i="3" s="1"/>
  <c r="U90" i="3" s="1"/>
  <c r="P59" i="1"/>
  <c r="P57" i="1"/>
  <c r="P84" i="1" s="1"/>
  <c r="Q49" i="1"/>
  <c r="Q81" i="1" s="1"/>
  <c r="R47" i="1"/>
  <c r="R49" i="1" s="1"/>
  <c r="R81" i="1" s="1"/>
  <c r="Q56" i="1"/>
  <c r="Q83" i="1" s="1"/>
  <c r="S48" i="1"/>
  <c r="X53" i="3" l="1"/>
  <c r="V55" i="3"/>
  <c r="W54" i="3"/>
  <c r="U65" i="3"/>
  <c r="U88" i="3"/>
  <c r="U63" i="3"/>
  <c r="U91" i="3" s="1"/>
  <c r="S47" i="1"/>
  <c r="S53" i="1" s="1"/>
  <c r="R53" i="1"/>
  <c r="R56" i="1" s="1"/>
  <c r="R83" i="1" s="1"/>
  <c r="Q57" i="1"/>
  <c r="Q84" i="1" s="1"/>
  <c r="Q59" i="1"/>
  <c r="T48" i="1"/>
  <c r="X54" i="3" l="1"/>
  <c r="X59" i="3" s="1"/>
  <c r="X62" i="3" s="1"/>
  <c r="X90" i="3" s="1"/>
  <c r="W55" i="3"/>
  <c r="W59" i="3"/>
  <c r="W62" i="3" s="1"/>
  <c r="W90" i="3" s="1"/>
  <c r="V65" i="3"/>
  <c r="V88" i="3"/>
  <c r="V63" i="3"/>
  <c r="V91" i="3" s="1"/>
  <c r="Y53" i="3"/>
  <c r="R57" i="1"/>
  <c r="R84" i="1" s="1"/>
  <c r="R59" i="1"/>
  <c r="S49" i="1"/>
  <c r="S81" i="1" s="1"/>
  <c r="T47" i="1"/>
  <c r="T49" i="1" s="1"/>
  <c r="T81" i="1" s="1"/>
  <c r="S56" i="1"/>
  <c r="S83" i="1" s="1"/>
  <c r="U48" i="1"/>
  <c r="Z53" i="3" l="1"/>
  <c r="W65" i="3"/>
  <c r="W63" i="3"/>
  <c r="W91" i="3" s="1"/>
  <c r="W88" i="3"/>
  <c r="X55" i="3"/>
  <c r="Y54" i="3"/>
  <c r="U47" i="1"/>
  <c r="V47" i="1" s="1"/>
  <c r="T53" i="1"/>
  <c r="T59" i="1" s="1"/>
  <c r="S57" i="1"/>
  <c r="S84" i="1" s="1"/>
  <c r="S59" i="1"/>
  <c r="V48" i="1"/>
  <c r="Z54" i="3" l="1"/>
  <c r="Z59" i="3" s="1"/>
  <c r="Z62" i="3" s="1"/>
  <c r="Z90" i="3" s="1"/>
  <c r="Y55" i="3"/>
  <c r="X63" i="3"/>
  <c r="X91" i="3" s="1"/>
  <c r="X88" i="3"/>
  <c r="X65" i="3"/>
  <c r="Y59" i="3"/>
  <c r="Y62" i="3" s="1"/>
  <c r="Y90" i="3" s="1"/>
  <c r="AA53" i="3"/>
  <c r="U53" i="1"/>
  <c r="U56" i="1" s="1"/>
  <c r="U83" i="1" s="1"/>
  <c r="T57" i="1"/>
  <c r="T84" i="1" s="1"/>
  <c r="U49" i="1"/>
  <c r="U81" i="1" s="1"/>
  <c r="T56" i="1"/>
  <c r="T83" i="1" s="1"/>
  <c r="W48" i="1"/>
  <c r="V49" i="1"/>
  <c r="V81" i="1" s="1"/>
  <c r="V53" i="1"/>
  <c r="W47" i="1"/>
  <c r="Y88" i="3" l="1"/>
  <c r="Y63" i="3"/>
  <c r="Y91" i="3" s="1"/>
  <c r="Y65" i="3"/>
  <c r="AB53" i="3"/>
  <c r="AA54" i="3"/>
  <c r="Z55" i="3"/>
  <c r="U57" i="1"/>
  <c r="U84" i="1" s="1"/>
  <c r="U59" i="1"/>
  <c r="V59" i="1"/>
  <c r="V56" i="1"/>
  <c r="V83" i="1" s="1"/>
  <c r="X48" i="1"/>
  <c r="W49" i="1"/>
  <c r="W81" i="1" s="1"/>
  <c r="V57" i="1"/>
  <c r="V84" i="1" s="1"/>
  <c r="W53" i="1"/>
  <c r="X47" i="1"/>
  <c r="AB54" i="3" l="1"/>
  <c r="AB59" i="3" s="1"/>
  <c r="AB62" i="3" s="1"/>
  <c r="AB90" i="3" s="1"/>
  <c r="AA55" i="3"/>
  <c r="AA59" i="3"/>
  <c r="AA62" i="3" s="1"/>
  <c r="AA90" i="3" s="1"/>
  <c r="Z63" i="3"/>
  <c r="Z91" i="3" s="1"/>
  <c r="Z88" i="3"/>
  <c r="Z65" i="3"/>
  <c r="AC53" i="3"/>
  <c r="W59" i="1"/>
  <c r="W56" i="1"/>
  <c r="W83" i="1" s="1"/>
  <c r="Y48" i="1"/>
  <c r="X49" i="1"/>
  <c r="X81" i="1" s="1"/>
  <c r="W57" i="1"/>
  <c r="W84" i="1" s="1"/>
  <c r="Y47" i="1"/>
  <c r="X53" i="1"/>
  <c r="AD53" i="3" l="1"/>
  <c r="AA88" i="3"/>
  <c r="AA63" i="3"/>
  <c r="AA91" i="3" s="1"/>
  <c r="AA65" i="3"/>
  <c r="AB55" i="3"/>
  <c r="AC54" i="3"/>
  <c r="X59" i="1"/>
  <c r="X56" i="1"/>
  <c r="X83" i="1" s="1"/>
  <c r="Z48" i="1"/>
  <c r="AA48" i="1" s="1"/>
  <c r="Y49" i="1"/>
  <c r="Y81" i="1" s="1"/>
  <c r="X57" i="1"/>
  <c r="X84" i="1" s="1"/>
  <c r="Y53" i="1"/>
  <c r="Z47" i="1"/>
  <c r="AB65" i="3" l="1"/>
  <c r="AB63" i="3"/>
  <c r="AB91" i="3" s="1"/>
  <c r="AB88" i="3"/>
  <c r="AC55" i="3"/>
  <c r="AD54" i="3"/>
  <c r="AD59" i="3" s="1"/>
  <c r="AD62" i="3" s="1"/>
  <c r="AE53" i="3"/>
  <c r="AC59" i="3"/>
  <c r="AC62" i="3" s="1"/>
  <c r="AC90" i="3" s="1"/>
  <c r="AA47" i="1"/>
  <c r="Z53" i="1"/>
  <c r="Z56" i="1" s="1"/>
  <c r="Z83" i="1" s="1"/>
  <c r="Y59" i="1"/>
  <c r="Y56" i="1"/>
  <c r="Y83" i="1" s="1"/>
  <c r="AB48" i="1"/>
  <c r="Z49" i="1"/>
  <c r="Z81" i="1" s="1"/>
  <c r="Y57" i="1"/>
  <c r="Y84" i="1" s="1"/>
  <c r="AF53" i="3" l="1"/>
  <c r="AD55" i="3"/>
  <c r="AE54" i="3"/>
  <c r="AC65" i="3"/>
  <c r="AC63" i="3"/>
  <c r="C46" i="3" s="1"/>
  <c r="AC88" i="3"/>
  <c r="AA53" i="1"/>
  <c r="AA56" i="1" s="1"/>
  <c r="AA83" i="1" s="1"/>
  <c r="AB47" i="1"/>
  <c r="AC47" i="1" s="1"/>
  <c r="AA49" i="1"/>
  <c r="AA81" i="1" s="1"/>
  <c r="Z59" i="1"/>
  <c r="AC48" i="1"/>
  <c r="Z57" i="1"/>
  <c r="Z84" i="1" s="1"/>
  <c r="AC91" i="3" l="1"/>
  <c r="AE55" i="3"/>
  <c r="AF54" i="3"/>
  <c r="AE59" i="3"/>
  <c r="AE62" i="3" s="1"/>
  <c r="AD65" i="3"/>
  <c r="AD63" i="3"/>
  <c r="AF59" i="3"/>
  <c r="AF62" i="3" s="1"/>
  <c r="AG53" i="3"/>
  <c r="AB49" i="1"/>
  <c r="AA59" i="1"/>
  <c r="C40" i="1" s="1"/>
  <c r="AC53" i="1"/>
  <c r="AB53" i="1"/>
  <c r="AD48" i="1"/>
  <c r="AC49" i="1"/>
  <c r="AD47" i="1"/>
  <c r="AA57" i="1"/>
  <c r="C39" i="1" s="1"/>
  <c r="F39" i="1" s="1"/>
  <c r="H46" i="3" l="1"/>
  <c r="C47" i="3"/>
  <c r="AF55" i="3"/>
  <c r="AG54" i="3"/>
  <c r="AG59" i="3" s="1"/>
  <c r="AG62" i="3" s="1"/>
  <c r="AE65" i="3"/>
  <c r="AE63" i="3"/>
  <c r="AH53" i="3"/>
  <c r="AB59" i="1"/>
  <c r="AC59" i="1"/>
  <c r="AD53" i="1"/>
  <c r="AD56" i="1" s="1"/>
  <c r="AE47" i="1"/>
  <c r="AC57" i="1"/>
  <c r="AC56" i="1"/>
  <c r="AE48" i="1"/>
  <c r="AD49" i="1"/>
  <c r="AA84" i="1"/>
  <c r="C41" i="1"/>
  <c r="AH54" i="3" l="1"/>
  <c r="AH55" i="3" s="1"/>
  <c r="AG55" i="3"/>
  <c r="AF63" i="3"/>
  <c r="AF65" i="3"/>
  <c r="AD57" i="1"/>
  <c r="AD59" i="1"/>
  <c r="AE53" i="1"/>
  <c r="AE56" i="1" s="1"/>
  <c r="AF48" i="1"/>
  <c r="AE49" i="1"/>
  <c r="AF47" i="1"/>
  <c r="AH59" i="3" l="1"/>
  <c r="AH62" i="3" s="1"/>
  <c r="AG63" i="3"/>
  <c r="AG65" i="3"/>
  <c r="AE59" i="1"/>
  <c r="AE57" i="1"/>
  <c r="AF53" i="1"/>
  <c r="AF56" i="1" s="1"/>
  <c r="AF49" i="1"/>
  <c r="AB56" i="1"/>
  <c r="AB57" i="1"/>
  <c r="AH65" i="3" l="1"/>
  <c r="AH63" i="3"/>
  <c r="AF57" i="1"/>
  <c r="AF59" i="1"/>
</calcChain>
</file>

<file path=xl/sharedStrings.xml><?xml version="1.0" encoding="utf-8"?>
<sst xmlns="http://schemas.openxmlformats.org/spreadsheetml/2006/main" count="199" uniqueCount="103">
  <si>
    <t>Inverterskift</t>
  </si>
  <si>
    <t>Tab</t>
  </si>
  <si>
    <t>Cashflow</t>
  </si>
  <si>
    <t>Areal</t>
  </si>
  <si>
    <t>kr/år</t>
  </si>
  <si>
    <t>kr/kwt</t>
  </si>
  <si>
    <t>total drift</t>
  </si>
  <si>
    <t>Andel egenproduktion</t>
  </si>
  <si>
    <t>Eget forbrug</t>
  </si>
  <si>
    <t>Salg til net</t>
  </si>
  <si>
    <t>Evishine, overvågning</t>
  </si>
  <si>
    <t>service, intern</t>
  </si>
  <si>
    <t>Årlig indtjening</t>
  </si>
  <si>
    <t>år</t>
  </si>
  <si>
    <t>Levetid (lav risiko ved skoler)</t>
  </si>
  <si>
    <t>Tab i ydeevne / år</t>
  </si>
  <si>
    <t>Nutidsværdi (25 år)</t>
  </si>
  <si>
    <t>Forudsætninger</t>
  </si>
  <si>
    <t>Salgpris til net</t>
  </si>
  <si>
    <t>Energiinflation</t>
  </si>
  <si>
    <t>Inflation</t>
  </si>
  <si>
    <t>Indtægter</t>
  </si>
  <si>
    <t>Udgifter</t>
  </si>
  <si>
    <t>Driftudgifter</t>
  </si>
  <si>
    <t>m2</t>
  </si>
  <si>
    <t>Produktion</t>
  </si>
  <si>
    <t>Anskaffelse + montering</t>
  </si>
  <si>
    <t>Projektledelse + rådgivning</t>
  </si>
  <si>
    <t>kr.</t>
  </si>
  <si>
    <t>Resultat</t>
  </si>
  <si>
    <t>%</t>
  </si>
  <si>
    <t>total indtægter</t>
  </si>
  <si>
    <t>total udgifter</t>
  </si>
  <si>
    <t>til graf</t>
  </si>
  <si>
    <t>Solcelleanlæg</t>
  </si>
  <si>
    <t>Effekt</t>
  </si>
  <si>
    <t>Rådighedstarif (betales over 50 kW)</t>
  </si>
  <si>
    <t>Rente (25 års løbetid)</t>
  </si>
  <si>
    <t>Produktion/kWp</t>
  </si>
  <si>
    <t>kWp</t>
  </si>
  <si>
    <t>kWh/år</t>
  </si>
  <si>
    <t>kWh/kWp</t>
  </si>
  <si>
    <t>Nutidsværdi (30 år)</t>
  </si>
  <si>
    <t>Låneomkostninger (25 år)</t>
  </si>
  <si>
    <t>Låneomkostninger (30 år)</t>
  </si>
  <si>
    <t>Netto cashflow 30 år</t>
  </si>
  <si>
    <t>Netto Cashflow 25 år</t>
  </si>
  <si>
    <t>omk. Selskab, revisor, regnskabsprogram, forsikringer, interne timer, ect.</t>
  </si>
  <si>
    <t>Inverterskift efter 15 år</t>
  </si>
  <si>
    <t>Total investering anlæg</t>
  </si>
  <si>
    <t>Indfødningsfarif (betales), kun netdel</t>
  </si>
  <si>
    <t>Tilslutningstarif (betales én gang)</t>
  </si>
  <si>
    <t>Driftudgifter i alt for anlæg</t>
  </si>
  <si>
    <t>Rentabilitetsberegning af solcelleanlæg på kommunale tage</t>
  </si>
  <si>
    <t>OBS: indtast i gule celler</t>
  </si>
  <si>
    <t>Projektledelse og rådgivning vil også falde relativt ved opsætning af flere anlæg. Ca. 10% besparelse ved fem anlæg.</t>
  </si>
  <si>
    <t>Priser indhentet af Aarhus Kommune. Ved opsætning af flere anlæg, kan formentlig opnås besparelse.</t>
  </si>
  <si>
    <t>Pris indhentet af Aarhus Kommune</t>
  </si>
  <si>
    <t>Skal være så høj så mulig for at maksimere rentabiliteten. Typisk mellem 70-85%.</t>
  </si>
  <si>
    <t>Elprisen er meget ustabil pt. Aarhus Kommune har tre scenarier (lav: 30 øre/kwt - medium: 45 øre/kwt - høj: 60 øre/kwt)</t>
  </si>
  <si>
    <t>Tjek priser. 25 øre/kwt er konservativt sat.</t>
  </si>
  <si>
    <t>Diverse tariffer (tranmission, distrubition, ect.)</t>
  </si>
  <si>
    <t>Disse tariffer kan variere mellem landsdele og størrelser på bygninger. Tjek selv elregninger for konkrete bygninger.</t>
  </si>
  <si>
    <t>kilde: konstant. Tjek selv priser i jeres område / hos jeres elselskab</t>
  </si>
  <si>
    <t xml:space="preserve">relativt lavt, men Aarhus Kommune har erfaring. </t>
  </si>
  <si>
    <t>Betydelige stordriftsfordele. De 10.000 kr. / anlæg er mest realistisk ved 10 solcelleanlæg i selskabet.</t>
  </si>
  <si>
    <t>forbehold for ændringer, ikke vedtaget</t>
  </si>
  <si>
    <t>Nogle går længere op i levetid, f.eks. 30 år</t>
  </si>
  <si>
    <t>noter</t>
  </si>
  <si>
    <t xml:space="preserve">Elpris (købspris, sparet) </t>
  </si>
  <si>
    <t>Bilag 3</t>
  </si>
  <si>
    <t>Levetid</t>
  </si>
  <si>
    <t>Breakeven-elpris</t>
  </si>
  <si>
    <t>Business case for opsætning af solceller i Aarhus Kommune</t>
  </si>
  <si>
    <t>Klargørelse af tag</t>
  </si>
  <si>
    <t>Skalering ift. modelcase</t>
  </si>
  <si>
    <t>Samlet</t>
  </si>
  <si>
    <t>Budget for ét anlæg på 600 m2</t>
  </si>
  <si>
    <t>Intern tid + rådgiver</t>
  </si>
  <si>
    <t>Timepris tekniker:</t>
  </si>
  <si>
    <t>kr</t>
  </si>
  <si>
    <t>note</t>
  </si>
  <si>
    <t>intern:</t>
  </si>
  <si>
    <t xml:space="preserve">    - kommunikation med bygning</t>
  </si>
  <si>
    <t xml:space="preserve">    - osv???</t>
  </si>
  <si>
    <t>Netto rente (25 års løbetid)</t>
  </si>
  <si>
    <t>Rente (80% statsgaranti)</t>
  </si>
  <si>
    <t>Rente (20% bankrisiko)</t>
  </si>
  <si>
    <t>Projektledelse</t>
  </si>
  <si>
    <t>Total investering</t>
  </si>
  <si>
    <t>Løbende drift/år</t>
  </si>
  <si>
    <t>101 mio.kr.</t>
  </si>
  <si>
    <t>82 mio.kr.</t>
  </si>
  <si>
    <t>10 mio.kr.</t>
  </si>
  <si>
    <t>9 mio.kr.</t>
  </si>
  <si>
    <t>12,8 GWh/år</t>
  </si>
  <si>
    <t>4 mio.kr.</t>
  </si>
  <si>
    <t>Nutidsværdi over 25 år (samlet overskud)</t>
  </si>
  <si>
    <t>71.000 m²</t>
  </si>
  <si>
    <t>Gennemsnitlig årlig indtægt fra salg af el</t>
  </si>
  <si>
    <t>1,8 mio.kr.</t>
  </si>
  <si>
    <t>Breakeven elpris</t>
  </si>
  <si>
    <t>48 øre/kWt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</si>
</sst>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kr.&quot;\ #,##0;[Red]&quot;kr.&quot;\ \-#,##0"/>
    <numFmt numFmtId="165" formatCode="_ * #,##0.00_ ;_ * \-#,##0.00_ ;_ * &quot;-&quot;??_ ;_ @_ "/>
    <numFmt numFmtId="166" formatCode="_ * #,##0_ ;_ * \-#,##0_ ;_ * &quot;-&quot;??_ ;_ @_ "/>
    <numFmt numFmtId="167" formatCode="0.0%"/>
    <numFmt numFmtId="168" formatCode="#,##0_ ;[Red]\-#,##0\ "/>
    <numFmt numFmtId="169" formatCode="_ * #,##0.000_ ;_ * \-#,##0.000_ ;_ * &quot;-&quot;??_ ;_ @_ "/>
    <numFmt numFmtId="170" formatCode="_ * #,##0.0000_ ;_ * \-#,##0.0000_ ;_ * &quot;-&quot;??_ ;_ @_ "/>
  </numFmts>
  <fonts count="9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2"/>
      <color theme="1"/>
      <name val="Verdana"/>
      <family val="2"/>
    </font>
    <font>
      <i/>
      <sz val="10"/>
      <color theme="1"/>
      <name val="Verdana"/>
      <family val="2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15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1" xfId="0" applyFill="1" applyBorder="1"/>
    <xf numFmtId="0" fontId="3" fillId="2" borderId="0" xfId="0" applyFont="1" applyFill="1"/>
    <xf numFmtId="0" fontId="0" fillId="2" borderId="0" xfId="0" applyFill="1"/>
    <xf numFmtId="166" fontId="0" fillId="2" borderId="1" xfId="1" applyNumberFormat="1" applyFont="1" applyFill="1" applyBorder="1"/>
    <xf numFmtId="0" fontId="2" fillId="2" borderId="1" xfId="0" applyFont="1" applyFill="1" applyBorder="1"/>
    <xf numFmtId="166" fontId="2" fillId="2" borderId="1" xfId="1" applyNumberFormat="1" applyFont="1" applyFill="1" applyBorder="1"/>
    <xf numFmtId="0" fontId="2" fillId="2" borderId="0" xfId="0" applyFont="1" applyFill="1" applyBorder="1"/>
    <xf numFmtId="166" fontId="2" fillId="2" borderId="0" xfId="1" applyNumberFormat="1" applyFont="1" applyFill="1" applyBorder="1"/>
    <xf numFmtId="167" fontId="2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167" fontId="0" fillId="2" borderId="0" xfId="0" applyNumberFormat="1" applyFill="1" applyBorder="1" applyAlignment="1">
      <alignment horizontal="left"/>
    </xf>
    <xf numFmtId="9" fontId="0" fillId="2" borderId="1" xfId="0" applyNumberFormat="1" applyFill="1" applyBorder="1"/>
    <xf numFmtId="166" fontId="0" fillId="2" borderId="0" xfId="1" applyNumberFormat="1" applyFont="1" applyFill="1" applyBorder="1"/>
    <xf numFmtId="168" fontId="0" fillId="2" borderId="1" xfId="0" applyNumberFormat="1" applyFill="1" applyBorder="1"/>
    <xf numFmtId="164" fontId="0" fillId="2" borderId="0" xfId="0" applyNumberFormat="1" applyFill="1"/>
    <xf numFmtId="166" fontId="0" fillId="2" borderId="0" xfId="0" applyNumberFormat="1" applyFill="1"/>
    <xf numFmtId="166" fontId="0" fillId="2" borderId="0" xfId="1" applyNumberFormat="1" applyFont="1" applyFill="1"/>
    <xf numFmtId="0" fontId="4" fillId="2" borderId="0" xfId="0" applyFont="1" applyFill="1"/>
    <xf numFmtId="0" fontId="5" fillId="2" borderId="1" xfId="0" applyFont="1" applyFill="1" applyBorder="1"/>
    <xf numFmtId="165" fontId="0" fillId="3" borderId="1" xfId="1" applyNumberFormat="1" applyFont="1" applyFill="1" applyBorder="1"/>
    <xf numFmtId="169" fontId="0" fillId="3" borderId="1" xfId="1" applyNumberFormat="1" applyFont="1" applyFill="1" applyBorder="1"/>
    <xf numFmtId="3" fontId="0" fillId="2" borderId="0" xfId="0" applyNumberFormat="1" applyFill="1"/>
    <xf numFmtId="170" fontId="5" fillId="3" borderId="1" xfId="1" applyNumberFormat="1" applyFont="1" applyFill="1" applyBorder="1"/>
    <xf numFmtId="168" fontId="5" fillId="2" borderId="1" xfId="0" applyNumberFormat="1" applyFont="1" applyFill="1" applyBorder="1"/>
    <xf numFmtId="0" fontId="0" fillId="3" borderId="1" xfId="0" applyFill="1" applyBorder="1"/>
    <xf numFmtId="0" fontId="6" fillId="2" borderId="0" xfId="0" applyFont="1" applyFill="1"/>
    <xf numFmtId="0" fontId="7" fillId="2" borderId="0" xfId="0" applyFont="1" applyFill="1"/>
    <xf numFmtId="0" fontId="0" fillId="2" borderId="0" xfId="0" applyFont="1" applyFill="1"/>
    <xf numFmtId="3" fontId="0" fillId="3" borderId="1" xfId="0" applyNumberFormat="1" applyFill="1" applyBorder="1"/>
    <xf numFmtId="166" fontId="0" fillId="3" borderId="1" xfId="1" applyNumberFormat="1" applyFont="1" applyFill="1" applyBorder="1"/>
    <xf numFmtId="9" fontId="0" fillId="3" borderId="1" xfId="2" applyFont="1" applyFill="1" applyBorder="1"/>
    <xf numFmtId="0" fontId="0" fillId="2" borderId="1" xfId="0" applyFill="1" applyBorder="1" applyAlignment="1">
      <alignment wrapText="1"/>
    </xf>
    <xf numFmtId="0" fontId="0" fillId="2" borderId="1" xfId="0" applyFont="1" applyFill="1" applyBorder="1"/>
    <xf numFmtId="0" fontId="5" fillId="2" borderId="0" xfId="0" applyFont="1" applyFill="1" applyBorder="1"/>
    <xf numFmtId="3" fontId="0" fillId="2" borderId="1" xfId="0" applyNumberFormat="1" applyFill="1" applyBorder="1"/>
    <xf numFmtId="9" fontId="0" fillId="2" borderId="1" xfId="2" applyFont="1" applyFill="1" applyBorder="1"/>
    <xf numFmtId="165" fontId="0" fillId="2" borderId="1" xfId="1" applyNumberFormat="1" applyFont="1" applyFill="1" applyBorder="1"/>
    <xf numFmtId="169" fontId="0" fillId="2" borderId="1" xfId="1" applyNumberFormat="1" applyFont="1" applyFill="1" applyBorder="1"/>
    <xf numFmtId="170" fontId="5" fillId="2" borderId="1" xfId="1" applyNumberFormat="1" applyFont="1" applyFill="1" applyBorder="1"/>
    <xf numFmtId="0" fontId="8" fillId="2" borderId="0" xfId="0" applyFont="1" applyFill="1"/>
    <xf numFmtId="0" fontId="0" fillId="0" borderId="1" xfId="0" applyBorder="1"/>
    <xf numFmtId="166" fontId="0" fillId="0" borderId="0" xfId="1" applyNumberFormat="1" applyFont="1"/>
    <xf numFmtId="1" fontId="0" fillId="0" borderId="0" xfId="0" applyNumberFormat="1"/>
    <xf numFmtId="167" fontId="0" fillId="0" borderId="0" xfId="2" applyNumberFormat="1" applyFont="1"/>
    <xf numFmtId="9" fontId="0" fillId="2" borderId="0" xfId="0" applyNumberFormat="1" applyFill="1" applyBorder="1"/>
    <xf numFmtId="167" fontId="0" fillId="2" borderId="1" xfId="0" applyNumberFormat="1" applyFill="1" applyBorder="1"/>
    <xf numFmtId="10" fontId="0" fillId="3" borderId="1" xfId="0" applyNumberFormat="1" applyFill="1" applyBorder="1"/>
    <xf numFmtId="167" fontId="0" fillId="3" borderId="1" xfId="0" applyNumberFormat="1" applyFill="1" applyBorder="1"/>
    <xf numFmtId="3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3000"/>
              <a:t>Cashflow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'Beregning KL'!$B$81</c:f>
              <c:strCache>
                <c:ptCount val="1"/>
                <c:pt idx="0">
                  <c:v>total indtægter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'Beregning KL'!$C$81:$AA$81</c:f>
              <c:numCache>
                <c:formatCode>_ * #,##0_ ;_ * \-#,##0_ ;_ * "-"??_ ;_ @_ </c:formatCode>
                <c:ptCount val="25"/>
                <c:pt idx="0">
                  <c:v>58772.7</c:v>
                </c:pt>
                <c:pt idx="1">
                  <c:v>60535.880999999994</c:v>
                </c:pt>
                <c:pt idx="2">
                  <c:v>62351.957430000002</c:v>
                </c:pt>
                <c:pt idx="3">
                  <c:v>64222.516152900003</c:v>
                </c:pt>
                <c:pt idx="4">
                  <c:v>66149.191637487005</c:v>
                </c:pt>
                <c:pt idx="5">
                  <c:v>68133.667386611618</c:v>
                </c:pt>
                <c:pt idx="6">
                  <c:v>70177.677408209958</c:v>
                </c:pt>
                <c:pt idx="7">
                  <c:v>72283.007730456273</c:v>
                </c:pt>
                <c:pt idx="8">
                  <c:v>74451.497962369962</c:v>
                </c:pt>
                <c:pt idx="9">
                  <c:v>76685.04290124106</c:v>
                </c:pt>
                <c:pt idx="10">
                  <c:v>78985.594188278279</c:v>
                </c:pt>
                <c:pt idx="11">
                  <c:v>81355.162013926631</c:v>
                </c:pt>
                <c:pt idx="12">
                  <c:v>83795.816874344426</c:v>
                </c:pt>
                <c:pt idx="13">
                  <c:v>86309.691380574775</c:v>
                </c:pt>
                <c:pt idx="14">
                  <c:v>88898.982121992012</c:v>
                </c:pt>
                <c:pt idx="15">
                  <c:v>91565.951585651783</c:v>
                </c:pt>
                <c:pt idx="16">
                  <c:v>94312.930133221336</c:v>
                </c:pt>
                <c:pt idx="17">
                  <c:v>97142.318037217978</c:v>
                </c:pt>
                <c:pt idx="18">
                  <c:v>100056.58757833451</c:v>
                </c:pt>
                <c:pt idx="19">
                  <c:v>103058.28520568454</c:v>
                </c:pt>
                <c:pt idx="20">
                  <c:v>106150.03376185508</c:v>
                </c:pt>
                <c:pt idx="21">
                  <c:v>109334.53477471074</c:v>
                </c:pt>
                <c:pt idx="22">
                  <c:v>112614.57081795207</c:v>
                </c:pt>
                <c:pt idx="23">
                  <c:v>115993.00794249064</c:v>
                </c:pt>
                <c:pt idx="24">
                  <c:v>119472.79818076536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57-4AA5-BB57-F32486BBECF4}"/>
            </c:ext>
          </c:extLst>
        </c:ser>
        <c:ser>
          <c:idx val="1"/>
          <c:order val="1"/>
          <c:tx>
            <c:strRef>
              <c:f>'Beregning KL'!$B$82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'Beregning KL'!$C$82:$AA$82</c:f>
            </c:numRef>
          </c:val>
          <c:smooth val="0"/>
          <c:extLst>
            <c:ext xmlns:c16="http://schemas.microsoft.com/office/drawing/2014/chart" uri="{C3380CC4-5D6E-409C-BE32-E72D297353CC}">
              <c16:uniqueId val="{00000001-5D57-4AA5-BB57-F32486BBECF4}"/>
            </c:ext>
          </c:extLst>
        </c:ser>
        <c:ser>
          <c:idx val="2"/>
          <c:order val="2"/>
          <c:tx>
            <c:strRef>
              <c:f>'Beregning KL'!$B$83</c:f>
              <c:strCache>
                <c:ptCount val="1"/>
                <c:pt idx="0">
                  <c:v>total udgifter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'Beregning KL'!$C$83:$AA$83</c:f>
              <c:numCache>
                <c:formatCode>_ * #,##0_ ;_ * \-#,##0_ ;_ * "-"??_ ;_ @_ </c:formatCode>
                <c:ptCount val="25"/>
                <c:pt idx="0">
                  <c:v>74809.240077453651</c:v>
                </c:pt>
                <c:pt idx="1">
                  <c:v>75591.955830253661</c:v>
                </c:pt>
                <c:pt idx="2">
                  <c:v>76411.63452822165</c:v>
                </c:pt>
                <c:pt idx="3">
                  <c:v>77269.814503890215</c:v>
                </c:pt>
                <c:pt idx="4">
                  <c:v>78168.093623093198</c:v>
                </c:pt>
                <c:pt idx="5">
                  <c:v>79108.131482464552</c:v>
                </c:pt>
                <c:pt idx="6">
                  <c:v>80091.651685407138</c:v>
                </c:pt>
                <c:pt idx="7">
                  <c:v>81120.444199265767</c:v>
                </c:pt>
                <c:pt idx="8">
                  <c:v>82196.367796532824</c:v>
                </c:pt>
                <c:pt idx="9">
                  <c:v>83321.352583010826</c:v>
                </c:pt>
                <c:pt idx="10">
                  <c:v>84497.402615956598</c:v>
                </c:pt>
                <c:pt idx="11">
                  <c:v>85726.598615334908</c:v>
                </c:pt>
                <c:pt idx="12">
                  <c:v>95039.15871168075</c:v>
                </c:pt>
                <c:pt idx="13">
                  <c:v>96381.209592328363</c:v>
                </c:pt>
                <c:pt idx="14">
                  <c:v>97783.137153433476</c:v>
                </c:pt>
                <c:pt idx="15">
                  <c:v>99247.357856075803</c:v>
                </c:pt>
                <c:pt idx="16">
                  <c:v>100776.37989410837</c:v>
                </c:pt>
                <c:pt idx="17">
                  <c:v>102372.80653599127</c:v>
                </c:pt>
                <c:pt idx="18">
                  <c:v>104039.33958482977</c:v>
                </c:pt>
                <c:pt idx="19">
                  <c:v>105778.7829607061</c:v>
                </c:pt>
                <c:pt idx="20">
                  <c:v>107594.04640953407</c:v>
                </c:pt>
                <c:pt idx="21">
                  <c:v>109488.14934280873</c:v>
                </c:pt>
                <c:pt idx="22">
                  <c:v>111464.22481277218</c:v>
                </c:pt>
                <c:pt idx="23">
                  <c:v>113525.52362767073</c:v>
                </c:pt>
                <c:pt idx="24">
                  <c:v>115675.41861193613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57-4AA5-BB57-F32486BBE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8287456"/>
        <c:axId val="974018520"/>
      </c:lineChart>
      <c:catAx>
        <c:axId val="968287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74018520"/>
        <c:crosses val="autoZero"/>
        <c:auto val="1"/>
        <c:lblAlgn val="ctr"/>
        <c:lblOffset val="100"/>
        <c:noMultiLvlLbl val="0"/>
      </c:catAx>
      <c:valAx>
        <c:axId val="974018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6828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legendEntry>
      <c:layout>
        <c:manualLayout>
          <c:xMode val="edge"/>
          <c:yMode val="edge"/>
          <c:x val="0.83154787909575834"/>
          <c:y val="0.30121823524256303"/>
          <c:w val="0.1452263144526289"/>
          <c:h val="0.135325685343813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4</xdr:row>
      <xdr:rowOff>57150</xdr:rowOff>
    </xdr:from>
    <xdr:to>
      <xdr:col>17</xdr:col>
      <xdr:colOff>647699</xdr:colOff>
      <xdr:row>35</xdr:row>
      <xdr:rowOff>161925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1F61B28-D2EC-4A8C-9720-5E113EB2FC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F014B-8BC3-4DA9-B18A-9341ACED0BEC}">
  <dimension ref="B3:AH91"/>
  <sheetViews>
    <sheetView tabSelected="1" topLeftCell="A18" workbookViewId="0">
      <selection activeCell="F32" sqref="F32"/>
    </sheetView>
  </sheetViews>
  <sheetFormatPr defaultRowHeight="13.5" x14ac:dyDescent="0.3"/>
  <cols>
    <col min="1" max="1" width="2.84375" style="3" customWidth="1"/>
    <col min="2" max="2" width="37" style="3" customWidth="1"/>
    <col min="3" max="3" width="15.4609375" style="3" customWidth="1"/>
    <col min="4" max="4" width="11.3046875" style="3" customWidth="1"/>
    <col min="5" max="5" width="14.61328125" style="3" customWidth="1"/>
    <col min="6" max="6" width="20.69140625" style="3" customWidth="1"/>
    <col min="7" max="7" width="15.53515625" style="3" customWidth="1"/>
    <col min="8" max="8" width="17" style="3" bestFit="1" customWidth="1"/>
    <col min="9" max="9" width="12.53515625" style="3" bestFit="1" customWidth="1"/>
    <col min="10" max="10" width="12.61328125" style="3" bestFit="1" customWidth="1"/>
    <col min="11" max="11" width="20.15234375" style="3" customWidth="1"/>
    <col min="12" max="12" width="12.15234375" style="3" bestFit="1" customWidth="1"/>
    <col min="13" max="13" width="14.84375" style="3" bestFit="1" customWidth="1"/>
    <col min="14" max="15" width="11" style="3" bestFit="1" customWidth="1"/>
    <col min="16" max="16" width="11.69140625" style="3" bestFit="1" customWidth="1"/>
    <col min="17" max="29" width="11" style="3" bestFit="1" customWidth="1"/>
    <col min="30" max="30" width="10.4609375" style="3" customWidth="1"/>
    <col min="31" max="16384" width="9.23046875" style="3"/>
  </cols>
  <sheetData>
    <row r="3" spans="2:8" ht="18.5" x14ac:dyDescent="0.35">
      <c r="B3" s="40" t="s">
        <v>70</v>
      </c>
    </row>
    <row r="7" spans="2:8" ht="17" x14ac:dyDescent="0.35">
      <c r="B7" s="2" t="s">
        <v>73</v>
      </c>
    </row>
    <row r="8" spans="2:8" x14ac:dyDescent="0.3">
      <c r="B8" s="28"/>
      <c r="F8" s="3" t="s">
        <v>75</v>
      </c>
      <c r="H8" s="3">
        <v>118.334</v>
      </c>
    </row>
    <row r="9" spans="2:8" ht="17" x14ac:dyDescent="0.35">
      <c r="B9" s="2"/>
    </row>
    <row r="10" spans="2:8" ht="15" x14ac:dyDescent="0.3">
      <c r="B10" s="18" t="s">
        <v>34</v>
      </c>
      <c r="E10" s="3" t="s">
        <v>68</v>
      </c>
    </row>
    <row r="11" spans="2:8" x14ac:dyDescent="0.3">
      <c r="B11" s="1" t="s">
        <v>3</v>
      </c>
      <c r="C11" s="35">
        <f>600*H8</f>
        <v>71000.400000000009</v>
      </c>
      <c r="D11" s="1" t="s">
        <v>24</v>
      </c>
      <c r="E11" s="16">
        <f>+C11*H18</f>
        <v>0</v>
      </c>
      <c r="F11" s="10"/>
    </row>
    <row r="12" spans="2:8" x14ac:dyDescent="0.3">
      <c r="B12" s="1" t="s">
        <v>35</v>
      </c>
      <c r="C12" s="4">
        <f>120*H8</f>
        <v>14200.08</v>
      </c>
      <c r="D12" s="1" t="s">
        <v>39</v>
      </c>
      <c r="F12" s="10"/>
    </row>
    <row r="13" spans="2:8" x14ac:dyDescent="0.3">
      <c r="B13" s="1" t="s">
        <v>38</v>
      </c>
      <c r="C13" s="1">
        <v>900</v>
      </c>
      <c r="D13" s="1" t="s">
        <v>41</v>
      </c>
      <c r="F13" s="10"/>
    </row>
    <row r="14" spans="2:8" x14ac:dyDescent="0.3">
      <c r="B14" s="1" t="s">
        <v>25</v>
      </c>
      <c r="C14" s="35">
        <f>C12*C13</f>
        <v>12780072</v>
      </c>
      <c r="D14" s="1" t="s">
        <v>40</v>
      </c>
      <c r="F14" s="10"/>
    </row>
    <row r="15" spans="2:8" x14ac:dyDescent="0.3">
      <c r="B15" s="1" t="s">
        <v>26</v>
      </c>
      <c r="C15" s="35">
        <f>C11*1150</f>
        <v>81650460.000000015</v>
      </c>
      <c r="D15" s="1" t="s">
        <v>28</v>
      </c>
      <c r="E15" s="3" t="s">
        <v>56</v>
      </c>
      <c r="F15" s="10"/>
    </row>
    <row r="16" spans="2:8" x14ac:dyDescent="0.3">
      <c r="B16" s="1" t="s">
        <v>74</v>
      </c>
      <c r="C16" s="35">
        <f>C11*0.5*300</f>
        <v>10650060.000000002</v>
      </c>
      <c r="D16" s="1" t="s">
        <v>28</v>
      </c>
      <c r="F16" s="10"/>
    </row>
    <row r="17" spans="2:8" x14ac:dyDescent="0.3">
      <c r="B17" s="1" t="s">
        <v>27</v>
      </c>
      <c r="C17" s="35">
        <f>(C15+C16)*0.1</f>
        <v>9230052.0000000019</v>
      </c>
      <c r="D17" s="1" t="s">
        <v>28</v>
      </c>
      <c r="E17" s="3" t="s">
        <v>55</v>
      </c>
      <c r="F17" s="10"/>
    </row>
    <row r="18" spans="2:8" x14ac:dyDescent="0.3">
      <c r="B18" s="5" t="s">
        <v>49</v>
      </c>
      <c r="C18" s="6">
        <f>+C15+C17+C16</f>
        <v>101530572.00000001</v>
      </c>
      <c r="D18" s="1" t="s">
        <v>28</v>
      </c>
      <c r="F18" s="10"/>
      <c r="H18" s="16"/>
    </row>
    <row r="19" spans="2:8" x14ac:dyDescent="0.3">
      <c r="B19" s="7"/>
      <c r="C19" s="8"/>
      <c r="D19" s="9"/>
      <c r="F19" s="9"/>
    </row>
    <row r="20" spans="2:8" x14ac:dyDescent="0.3">
      <c r="B20" s="10"/>
      <c r="D20" s="11"/>
    </row>
    <row r="21" spans="2:8" ht="15" x14ac:dyDescent="0.3">
      <c r="B21" s="18" t="s">
        <v>17</v>
      </c>
    </row>
    <row r="22" spans="2:8" x14ac:dyDescent="0.3">
      <c r="B22" s="1" t="s">
        <v>48</v>
      </c>
      <c r="C22" s="4">
        <f>66000*H8</f>
        <v>7810044</v>
      </c>
      <c r="D22" s="1" t="s">
        <v>28</v>
      </c>
      <c r="E22" s="3" t="s">
        <v>57</v>
      </c>
      <c r="F22" s="10"/>
    </row>
    <row r="23" spans="2:8" x14ac:dyDescent="0.3">
      <c r="B23" s="1" t="s">
        <v>7</v>
      </c>
      <c r="C23" s="36">
        <v>0.7</v>
      </c>
      <c r="D23" s="1"/>
      <c r="E23" s="3" t="s">
        <v>58</v>
      </c>
      <c r="F23" s="10"/>
    </row>
    <row r="24" spans="2:8" x14ac:dyDescent="0.3">
      <c r="B24" s="1" t="s">
        <v>71</v>
      </c>
      <c r="C24" s="4">
        <v>25</v>
      </c>
      <c r="D24" s="1" t="s">
        <v>13</v>
      </c>
      <c r="E24" s="3" t="s">
        <v>67</v>
      </c>
      <c r="F24" s="10"/>
    </row>
    <row r="25" spans="2:8" x14ac:dyDescent="0.3">
      <c r="B25" s="1" t="s">
        <v>15</v>
      </c>
      <c r="C25" s="4">
        <v>1</v>
      </c>
      <c r="D25" s="1" t="s">
        <v>30</v>
      </c>
      <c r="E25" s="26"/>
      <c r="F25" s="10"/>
    </row>
    <row r="26" spans="2:8" x14ac:dyDescent="0.3">
      <c r="B26" s="1" t="s">
        <v>69</v>
      </c>
      <c r="C26" s="37">
        <v>0.6</v>
      </c>
      <c r="D26" s="1" t="s">
        <v>5</v>
      </c>
      <c r="E26" s="3" t="s">
        <v>59</v>
      </c>
      <c r="F26" s="10"/>
    </row>
    <row r="27" spans="2:8" x14ac:dyDescent="0.3">
      <c r="B27" s="1" t="s">
        <v>18</v>
      </c>
      <c r="C27" s="37">
        <v>0.35</v>
      </c>
      <c r="D27" s="1" t="s">
        <v>5</v>
      </c>
      <c r="E27" s="3" t="s">
        <v>60</v>
      </c>
      <c r="F27" s="10"/>
    </row>
    <row r="28" spans="2:8" x14ac:dyDescent="0.3">
      <c r="B28" s="1" t="s">
        <v>61</v>
      </c>
      <c r="C28" s="38">
        <v>0.24</v>
      </c>
      <c r="D28" s="1" t="s">
        <v>5</v>
      </c>
      <c r="E28" s="3" t="s">
        <v>62</v>
      </c>
      <c r="F28" s="10"/>
    </row>
    <row r="29" spans="2:8" x14ac:dyDescent="0.3">
      <c r="B29" s="19" t="s">
        <v>36</v>
      </c>
      <c r="C29" s="39">
        <v>9.35E-2</v>
      </c>
      <c r="D29" s="19" t="s">
        <v>5</v>
      </c>
      <c r="E29" s="3" t="s">
        <v>63</v>
      </c>
      <c r="F29" s="34"/>
      <c r="H29" s="22"/>
    </row>
    <row r="30" spans="2:8" x14ac:dyDescent="0.3">
      <c r="B30" s="33" t="s">
        <v>50</v>
      </c>
      <c r="C30" s="37">
        <v>0.04</v>
      </c>
      <c r="D30" s="19" t="s">
        <v>5</v>
      </c>
      <c r="F30" s="34"/>
      <c r="H30" s="22"/>
    </row>
    <row r="31" spans="2:8" x14ac:dyDescent="0.3">
      <c r="B31" s="1" t="s">
        <v>19</v>
      </c>
      <c r="C31" s="12">
        <v>0.03</v>
      </c>
      <c r="D31" s="1"/>
    </row>
    <row r="32" spans="2:8" x14ac:dyDescent="0.3">
      <c r="B32" s="25" t="s">
        <v>86</v>
      </c>
      <c r="C32" s="47">
        <v>0.03</v>
      </c>
      <c r="D32" s="1"/>
    </row>
    <row r="33" spans="2:8" x14ac:dyDescent="0.3">
      <c r="B33" s="25" t="s">
        <v>87</v>
      </c>
      <c r="C33" s="48">
        <v>5.7000000000000002E-2</v>
      </c>
      <c r="D33" s="1"/>
    </row>
    <row r="34" spans="2:8" x14ac:dyDescent="0.3">
      <c r="B34" s="1" t="s">
        <v>85</v>
      </c>
      <c r="C34" s="46">
        <f>+(C32*4+C33)/5</f>
        <v>3.5400000000000001E-2</v>
      </c>
      <c r="D34" s="1"/>
    </row>
    <row r="35" spans="2:8" x14ac:dyDescent="0.3">
      <c r="B35" s="1" t="s">
        <v>20</v>
      </c>
      <c r="C35" s="12">
        <v>0.02</v>
      </c>
      <c r="D35" s="1"/>
    </row>
    <row r="36" spans="2:8" x14ac:dyDescent="0.3">
      <c r="B36" s="10"/>
      <c r="C36" s="45"/>
      <c r="D36" s="10"/>
    </row>
    <row r="38" spans="2:8" ht="15" x14ac:dyDescent="0.3">
      <c r="B38" s="18" t="s">
        <v>52</v>
      </c>
    </row>
    <row r="39" spans="2:8" x14ac:dyDescent="0.3">
      <c r="B39" s="1" t="s">
        <v>10</v>
      </c>
      <c r="C39" s="4">
        <f>500*H8</f>
        <v>59167</v>
      </c>
      <c r="D39" s="1" t="s">
        <v>4</v>
      </c>
      <c r="F39" s="10"/>
    </row>
    <row r="40" spans="2:8" x14ac:dyDescent="0.3">
      <c r="B40" s="1" t="s">
        <v>11</v>
      </c>
      <c r="C40" s="4">
        <f>2000*H8</f>
        <v>236668</v>
      </c>
      <c r="D40" s="1" t="s">
        <v>4</v>
      </c>
      <c r="E40" s="3" t="s">
        <v>64</v>
      </c>
      <c r="F40" s="10"/>
    </row>
    <row r="41" spans="2:8" ht="28.5" customHeight="1" x14ac:dyDescent="0.3">
      <c r="B41" s="32" t="s">
        <v>47</v>
      </c>
      <c r="C41" s="35">
        <f>10000*H8</f>
        <v>1183340</v>
      </c>
      <c r="D41" s="1" t="s">
        <v>4</v>
      </c>
      <c r="E41" s="3" t="s">
        <v>65</v>
      </c>
      <c r="F41" s="10"/>
    </row>
    <row r="42" spans="2:8" x14ac:dyDescent="0.3">
      <c r="B42" s="1" t="s">
        <v>6</v>
      </c>
      <c r="C42" s="4">
        <f>+C39+C40+C41</f>
        <v>1479175</v>
      </c>
      <c r="D42" s="1" t="s">
        <v>4</v>
      </c>
      <c r="E42" s="10"/>
      <c r="F42" s="10"/>
    </row>
    <row r="43" spans="2:8" x14ac:dyDescent="0.3">
      <c r="B43" s="10"/>
      <c r="C43" s="13"/>
      <c r="D43" s="10"/>
      <c r="E43" s="10"/>
      <c r="F43" s="10"/>
    </row>
    <row r="45" spans="2:8" ht="15" x14ac:dyDescent="0.3">
      <c r="B45" s="18" t="s">
        <v>29</v>
      </c>
    </row>
    <row r="46" spans="2:8" x14ac:dyDescent="0.3">
      <c r="B46" s="1" t="s">
        <v>16</v>
      </c>
      <c r="C46" s="14">
        <f>NPV(C34,C63:AC63)</f>
        <v>22125270.951517317</v>
      </c>
      <c r="D46" s="1" t="s">
        <v>28</v>
      </c>
      <c r="E46" s="10"/>
      <c r="F46" s="10"/>
      <c r="H46" s="16">
        <f>+C46*H18</f>
        <v>0</v>
      </c>
    </row>
    <row r="47" spans="2:8" x14ac:dyDescent="0.3">
      <c r="B47" s="1" t="s">
        <v>12</v>
      </c>
      <c r="C47" s="14">
        <f>+C46/25</f>
        <v>885010.83806069265</v>
      </c>
      <c r="D47" s="1" t="s">
        <v>28</v>
      </c>
      <c r="E47" s="10"/>
      <c r="F47" s="10"/>
    </row>
    <row r="48" spans="2:8" x14ac:dyDescent="0.3">
      <c r="B48" s="1" t="s">
        <v>72</v>
      </c>
      <c r="C48" s="20">
        <v>0.47</v>
      </c>
      <c r="D48" s="1" t="str">
        <f>D27</f>
        <v>kr/kwt</v>
      </c>
    </row>
    <row r="49" spans="2:34" x14ac:dyDescent="0.3">
      <c r="C49" s="15"/>
    </row>
    <row r="50" spans="2:34" ht="15" x14ac:dyDescent="0.3">
      <c r="B50" s="18" t="s">
        <v>2</v>
      </c>
    </row>
    <row r="51" spans="2:34" x14ac:dyDescent="0.3">
      <c r="B51" s="1" t="s">
        <v>13</v>
      </c>
      <c r="C51" s="1">
        <v>1</v>
      </c>
      <c r="D51" s="1">
        <v>2</v>
      </c>
      <c r="E51" s="1"/>
      <c r="F51" s="1"/>
      <c r="G51" s="1">
        <v>3</v>
      </c>
      <c r="H51" s="1">
        <v>4</v>
      </c>
      <c r="I51" s="1">
        <v>5</v>
      </c>
      <c r="J51" s="1">
        <v>6</v>
      </c>
      <c r="K51" s="1">
        <v>7</v>
      </c>
      <c r="L51" s="1">
        <v>8</v>
      </c>
      <c r="M51" s="1">
        <v>9</v>
      </c>
      <c r="N51" s="1">
        <v>10</v>
      </c>
      <c r="O51" s="1">
        <v>11</v>
      </c>
      <c r="P51" s="1">
        <v>12</v>
      </c>
      <c r="Q51" s="1">
        <v>13</v>
      </c>
      <c r="R51" s="1">
        <v>14</v>
      </c>
      <c r="S51" s="1">
        <v>15</v>
      </c>
      <c r="T51" s="1">
        <v>16</v>
      </c>
      <c r="U51" s="1">
        <v>17</v>
      </c>
      <c r="V51" s="1">
        <v>18</v>
      </c>
      <c r="W51" s="1">
        <v>19</v>
      </c>
      <c r="X51" s="1">
        <v>20</v>
      </c>
      <c r="Y51" s="1">
        <v>21</v>
      </c>
      <c r="Z51" s="1">
        <v>22</v>
      </c>
      <c r="AA51" s="1">
        <v>23</v>
      </c>
      <c r="AB51" s="1">
        <v>24</v>
      </c>
      <c r="AC51" s="1">
        <v>25</v>
      </c>
      <c r="AD51" s="1">
        <v>26</v>
      </c>
      <c r="AE51" s="1">
        <v>27</v>
      </c>
      <c r="AF51" s="1">
        <v>28</v>
      </c>
      <c r="AG51" s="1">
        <v>29</v>
      </c>
      <c r="AH51" s="1">
        <v>30</v>
      </c>
    </row>
    <row r="52" spans="2:34" x14ac:dyDescent="0.3">
      <c r="B52" s="5" t="s">
        <v>21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2:34" x14ac:dyDescent="0.3">
      <c r="B53" s="1" t="s">
        <v>8</v>
      </c>
      <c r="C53" s="4">
        <f>$C$14*($C$26+$C$28-$C$29)*$C$23</f>
        <v>6678226.6235999996</v>
      </c>
      <c r="D53" s="4">
        <f>C53*(1+$C$31)</f>
        <v>6878573.4223079998</v>
      </c>
      <c r="E53" s="4"/>
      <c r="F53" s="4"/>
      <c r="G53" s="4">
        <f>D53*(1+$C$31)</f>
        <v>7084930.6249772403</v>
      </c>
      <c r="H53" s="4">
        <f t="shared" ref="H53:AB54" si="0">G53*(1+$C$31)</f>
        <v>7297478.5437265579</v>
      </c>
      <c r="I53" s="4">
        <f t="shared" si="0"/>
        <v>7516402.900038355</v>
      </c>
      <c r="J53" s="4">
        <f t="shared" si="0"/>
        <v>7741894.9870395055</v>
      </c>
      <c r="K53" s="4">
        <f t="shared" si="0"/>
        <v>7974151.836650691</v>
      </c>
      <c r="L53" s="4">
        <f t="shared" si="0"/>
        <v>8213376.3917502118</v>
      </c>
      <c r="M53" s="4">
        <f t="shared" si="0"/>
        <v>8459777.6835027188</v>
      </c>
      <c r="N53" s="4">
        <f t="shared" si="0"/>
        <v>8713571.0140078012</v>
      </c>
      <c r="O53" s="4">
        <f t="shared" si="0"/>
        <v>8974978.1444280352</v>
      </c>
      <c r="P53" s="4">
        <f t="shared" si="0"/>
        <v>9244227.4887608774</v>
      </c>
      <c r="Q53" s="4">
        <f t="shared" si="0"/>
        <v>9521554.3134237044</v>
      </c>
      <c r="R53" s="4">
        <f t="shared" si="0"/>
        <v>9807200.9428264163</v>
      </c>
      <c r="S53" s="4">
        <f t="shared" si="0"/>
        <v>10101416.971111208</v>
      </c>
      <c r="T53" s="4">
        <f t="shared" si="0"/>
        <v>10404459.480244545</v>
      </c>
      <c r="U53" s="4">
        <f t="shared" si="0"/>
        <v>10716593.264651882</v>
      </c>
      <c r="V53" s="4">
        <f t="shared" si="0"/>
        <v>11038091.062591439</v>
      </c>
      <c r="W53" s="4">
        <f t="shared" si="0"/>
        <v>11369233.794469183</v>
      </c>
      <c r="X53" s="4">
        <f t="shared" si="0"/>
        <v>11710310.808303259</v>
      </c>
      <c r="Y53" s="4">
        <f t="shared" si="0"/>
        <v>12061620.132552357</v>
      </c>
      <c r="Z53" s="4">
        <f t="shared" si="0"/>
        <v>12423468.736528929</v>
      </c>
      <c r="AA53" s="4">
        <f t="shared" si="0"/>
        <v>12796172.798624797</v>
      </c>
      <c r="AB53" s="4">
        <f t="shared" si="0"/>
        <v>13180057.982583541</v>
      </c>
      <c r="AC53" s="4">
        <f>AB53*(1+$C$31)</f>
        <v>13575459.722061047</v>
      </c>
      <c r="AD53" s="4">
        <f t="shared" ref="AD53:AH54" si="1">AC53*(1+$C$31)</f>
        <v>13982723.51372288</v>
      </c>
      <c r="AE53" s="4">
        <f t="shared" si="1"/>
        <v>14402205.219134567</v>
      </c>
      <c r="AF53" s="4">
        <f t="shared" si="1"/>
        <v>14834271.375708604</v>
      </c>
      <c r="AG53" s="4">
        <f t="shared" si="1"/>
        <v>15279299.516979862</v>
      </c>
      <c r="AH53" s="4">
        <f t="shared" si="1"/>
        <v>15737678.502489258</v>
      </c>
    </row>
    <row r="54" spans="2:34" x14ac:dyDescent="0.3">
      <c r="B54" s="1" t="s">
        <v>9</v>
      </c>
      <c r="C54" s="4">
        <f>$C$14*($C$27-$C$30)*(1-$C$23)</f>
        <v>1188546.6960000002</v>
      </c>
      <c r="D54" s="4">
        <f>C54*(1+$C$31)</f>
        <v>1224203.0968800003</v>
      </c>
      <c r="E54" s="4"/>
      <c r="F54" s="4"/>
      <c r="G54" s="4">
        <f>D54*(1+$C$31)</f>
        <v>1260929.1897864004</v>
      </c>
      <c r="H54" s="4">
        <f t="shared" si="0"/>
        <v>1298757.0654799924</v>
      </c>
      <c r="I54" s="4">
        <f t="shared" si="0"/>
        <v>1337719.7774443922</v>
      </c>
      <c r="J54" s="4">
        <f t="shared" si="0"/>
        <v>1377851.370767724</v>
      </c>
      <c r="K54" s="4">
        <f t="shared" si="0"/>
        <v>1419186.9118907559</v>
      </c>
      <c r="L54" s="4">
        <f t="shared" si="0"/>
        <v>1461762.5192474786</v>
      </c>
      <c r="M54" s="4">
        <f t="shared" si="0"/>
        <v>1505615.394824903</v>
      </c>
      <c r="N54" s="4">
        <f t="shared" si="0"/>
        <v>1550783.8566696502</v>
      </c>
      <c r="O54" s="4">
        <f t="shared" si="0"/>
        <v>1597307.3723697397</v>
      </c>
      <c r="P54" s="4">
        <f t="shared" si="0"/>
        <v>1645226.5935408319</v>
      </c>
      <c r="Q54" s="4">
        <f t="shared" si="0"/>
        <v>1694583.391347057</v>
      </c>
      <c r="R54" s="4">
        <f t="shared" si="0"/>
        <v>1745420.8930874688</v>
      </c>
      <c r="S54" s="4">
        <f t="shared" si="0"/>
        <v>1797783.5198800929</v>
      </c>
      <c r="T54" s="4">
        <f t="shared" si="0"/>
        <v>1851717.0254764957</v>
      </c>
      <c r="U54" s="4">
        <f t="shared" si="0"/>
        <v>1907268.5362407907</v>
      </c>
      <c r="V54" s="4">
        <f t="shared" si="0"/>
        <v>1964486.5923280146</v>
      </c>
      <c r="W54" s="4">
        <f t="shared" si="0"/>
        <v>2023421.1900978549</v>
      </c>
      <c r="X54" s="4">
        <f t="shared" si="0"/>
        <v>2084123.8258007907</v>
      </c>
      <c r="Y54" s="4">
        <f t="shared" si="0"/>
        <v>2146647.5405748147</v>
      </c>
      <c r="Z54" s="4">
        <f t="shared" si="0"/>
        <v>2211046.9667920591</v>
      </c>
      <c r="AA54" s="4">
        <f t="shared" si="0"/>
        <v>2277378.3757958212</v>
      </c>
      <c r="AB54" s="4">
        <f t="shared" si="0"/>
        <v>2345699.7270696959</v>
      </c>
      <c r="AC54" s="4">
        <f>AB54*(1+$C$31)</f>
        <v>2416070.7188817868</v>
      </c>
      <c r="AD54" s="4">
        <f t="shared" si="1"/>
        <v>2488552.8404482403</v>
      </c>
      <c r="AE54" s="4">
        <f t="shared" si="1"/>
        <v>2563209.4256616877</v>
      </c>
      <c r="AF54" s="4">
        <f t="shared" si="1"/>
        <v>2640105.7084315387</v>
      </c>
      <c r="AG54" s="4">
        <f t="shared" si="1"/>
        <v>2719308.879684485</v>
      </c>
      <c r="AH54" s="4">
        <f t="shared" si="1"/>
        <v>2800888.1460750196</v>
      </c>
    </row>
    <row r="55" spans="2:34" x14ac:dyDescent="0.3">
      <c r="B55" s="10" t="s">
        <v>31</v>
      </c>
      <c r="C55" s="16">
        <f>+C54+C53</f>
        <v>7866773.3196</v>
      </c>
      <c r="D55" s="16">
        <f t="shared" ref="D55:AB55" si="2">+D54+D53</f>
        <v>8102776.5191879999</v>
      </c>
      <c r="E55" s="16"/>
      <c r="F55" s="16"/>
      <c r="G55" s="16">
        <f t="shared" si="2"/>
        <v>8345859.814763641</v>
      </c>
      <c r="H55" s="16">
        <f t="shared" si="2"/>
        <v>8596235.6092065498</v>
      </c>
      <c r="I55" s="16">
        <f t="shared" si="2"/>
        <v>8854122.6774827465</v>
      </c>
      <c r="J55" s="16">
        <f t="shared" si="2"/>
        <v>9119746.3578072302</v>
      </c>
      <c r="K55" s="16">
        <f t="shared" si="2"/>
        <v>9393338.7485414464</v>
      </c>
      <c r="L55" s="16">
        <f t="shared" si="2"/>
        <v>9675138.9109976906</v>
      </c>
      <c r="M55" s="16">
        <f t="shared" si="2"/>
        <v>9965393.0783276223</v>
      </c>
      <c r="N55" s="16">
        <f t="shared" si="2"/>
        <v>10264354.870677451</v>
      </c>
      <c r="O55" s="16">
        <f t="shared" si="2"/>
        <v>10572285.516797775</v>
      </c>
      <c r="P55" s="16">
        <f t="shared" si="2"/>
        <v>10889454.08230171</v>
      </c>
      <c r="Q55" s="16">
        <f t="shared" si="2"/>
        <v>11216137.704770761</v>
      </c>
      <c r="R55" s="16">
        <f t="shared" si="2"/>
        <v>11552621.835913885</v>
      </c>
      <c r="S55" s="16">
        <f t="shared" si="2"/>
        <v>11899200.490991302</v>
      </c>
      <c r="T55" s="16">
        <f t="shared" si="2"/>
        <v>12256176.50572104</v>
      </c>
      <c r="U55" s="16">
        <f t="shared" si="2"/>
        <v>12623861.800892672</v>
      </c>
      <c r="V55" s="16">
        <f t="shared" si="2"/>
        <v>13002577.654919453</v>
      </c>
      <c r="W55" s="16">
        <f t="shared" si="2"/>
        <v>13392654.984567039</v>
      </c>
      <c r="X55" s="16">
        <f t="shared" si="2"/>
        <v>13794434.634104051</v>
      </c>
      <c r="Y55" s="16">
        <f t="shared" si="2"/>
        <v>14208267.673127173</v>
      </c>
      <c r="Z55" s="16">
        <f t="shared" si="2"/>
        <v>14634515.703320988</v>
      </c>
      <c r="AA55" s="16">
        <f t="shared" si="2"/>
        <v>15073551.174420618</v>
      </c>
      <c r="AB55" s="16">
        <f t="shared" si="2"/>
        <v>15525757.709653238</v>
      </c>
      <c r="AC55" s="16">
        <f>+AC54+AC53</f>
        <v>15991530.440942835</v>
      </c>
      <c r="AD55" s="16">
        <f t="shared" ref="AD55:AH55" si="3">+AD54+AD53</f>
        <v>16471276.35417112</v>
      </c>
      <c r="AE55" s="16">
        <f t="shared" si="3"/>
        <v>16965414.644796256</v>
      </c>
      <c r="AF55" s="16">
        <f t="shared" si="3"/>
        <v>17474377.084140144</v>
      </c>
      <c r="AG55" s="16">
        <f t="shared" si="3"/>
        <v>17998608.396664347</v>
      </c>
      <c r="AH55" s="16">
        <f t="shared" si="3"/>
        <v>18538566.648564279</v>
      </c>
    </row>
    <row r="56" spans="2:34" x14ac:dyDescent="0.3">
      <c r="B56" s="5" t="s">
        <v>22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2:34" x14ac:dyDescent="0.3">
      <c r="B57" s="1" t="s"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>
        <f>-C22*(1+C35)^Q51</f>
        <v>-10103124.702535888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2:34" x14ac:dyDescent="0.3">
      <c r="B58" s="1" t="s">
        <v>23</v>
      </c>
      <c r="C58" s="4">
        <f>-$C$42</f>
        <v>-1479175</v>
      </c>
      <c r="D58" s="4">
        <f>+C58*(1+$C$35)</f>
        <v>-1508758.5</v>
      </c>
      <c r="E58" s="4"/>
      <c r="F58" s="4"/>
      <c r="G58" s="4">
        <f>+D58*(1+$C$35)</f>
        <v>-1538933.67</v>
      </c>
      <c r="H58" s="4">
        <f t="shared" ref="H58:AH58" si="4">+G58*(1+$C$35)</f>
        <v>-1569712.3433999999</v>
      </c>
      <c r="I58" s="4">
        <f t="shared" si="4"/>
        <v>-1601106.590268</v>
      </c>
      <c r="J58" s="4">
        <f t="shared" si="4"/>
        <v>-1633128.7220733601</v>
      </c>
      <c r="K58" s="4">
        <f t="shared" si="4"/>
        <v>-1665791.2965148273</v>
      </c>
      <c r="L58" s="4">
        <f t="shared" si="4"/>
        <v>-1699107.122445124</v>
      </c>
      <c r="M58" s="4">
        <f t="shared" si="4"/>
        <v>-1733089.2648940266</v>
      </c>
      <c r="N58" s="4">
        <f t="shared" si="4"/>
        <v>-1767751.0501919072</v>
      </c>
      <c r="O58" s="4">
        <f t="shared" si="4"/>
        <v>-1803106.0711957454</v>
      </c>
      <c r="P58" s="4">
        <f t="shared" si="4"/>
        <v>-1839168.1926196604</v>
      </c>
      <c r="Q58" s="4">
        <f t="shared" si="4"/>
        <v>-1875951.5564720538</v>
      </c>
      <c r="R58" s="4">
        <f t="shared" si="4"/>
        <v>-1913470.587601495</v>
      </c>
      <c r="S58" s="4">
        <f t="shared" si="4"/>
        <v>-1951739.999353525</v>
      </c>
      <c r="T58" s="4">
        <f t="shared" si="4"/>
        <v>-1990774.7993405955</v>
      </c>
      <c r="U58" s="4">
        <f t="shared" si="4"/>
        <v>-2030590.2953274075</v>
      </c>
      <c r="V58" s="4">
        <f t="shared" si="4"/>
        <v>-2071202.1012339557</v>
      </c>
      <c r="W58" s="4">
        <f t="shared" si="4"/>
        <v>-2112626.143258635</v>
      </c>
      <c r="X58" s="4">
        <f t="shared" si="4"/>
        <v>-2154878.6661238079</v>
      </c>
      <c r="Y58" s="4">
        <f t="shared" si="4"/>
        <v>-2197976.2394462842</v>
      </c>
      <c r="Z58" s="4">
        <f t="shared" si="4"/>
        <v>-2241935.7642352101</v>
      </c>
      <c r="AA58" s="4">
        <f t="shared" si="4"/>
        <v>-2286774.4795199144</v>
      </c>
      <c r="AB58" s="4">
        <f t="shared" si="4"/>
        <v>-2332509.9691103129</v>
      </c>
      <c r="AC58" s="4">
        <f t="shared" si="4"/>
        <v>-2379160.1684925193</v>
      </c>
      <c r="AD58" s="4">
        <f t="shared" si="4"/>
        <v>-2426743.3718623696</v>
      </c>
      <c r="AE58" s="4">
        <f t="shared" si="4"/>
        <v>-2475278.2392996172</v>
      </c>
      <c r="AF58" s="4">
        <f t="shared" si="4"/>
        <v>-2524783.8040856095</v>
      </c>
      <c r="AG58" s="4">
        <f t="shared" si="4"/>
        <v>-2575279.4801673219</v>
      </c>
      <c r="AH58" s="4">
        <f t="shared" si="4"/>
        <v>-2626785.0697706682</v>
      </c>
    </row>
    <row r="59" spans="2:34" x14ac:dyDescent="0.3">
      <c r="B59" s="1" t="s">
        <v>1</v>
      </c>
      <c r="C59" s="4"/>
      <c r="D59" s="4">
        <f>+(D53+D54)*D64%*-1</f>
        <v>-71304.433368854399</v>
      </c>
      <c r="E59" s="4"/>
      <c r="F59" s="4"/>
      <c r="G59" s="4">
        <f t="shared" ref="G59:AH59" si="5">+(G53+G54)*G64%*-1</f>
        <v>-146887.1327398401</v>
      </c>
      <c r="H59" s="4">
        <f t="shared" si="5"/>
        <v>-226940.62008305293</v>
      </c>
      <c r="I59" s="4">
        <f t="shared" si="5"/>
        <v>-311665.1182473927</v>
      </c>
      <c r="J59" s="4">
        <f t="shared" si="5"/>
        <v>-401268.83974351815</v>
      </c>
      <c r="K59" s="4">
        <f t="shared" si="5"/>
        <v>-495968.28592298838</v>
      </c>
      <c r="L59" s="4">
        <f t="shared" si="5"/>
        <v>-595988.55691745772</v>
      </c>
      <c r="M59" s="4">
        <f t="shared" si="5"/>
        <v>-701563.6727142646</v>
      </c>
      <c r="N59" s="4">
        <f t="shared" si="5"/>
        <v>-812936.90575765399</v>
      </c>
      <c r="O59" s="4">
        <f t="shared" si="5"/>
        <v>-930361.12547820434</v>
      </c>
      <c r="P59" s="4">
        <f t="shared" si="5"/>
        <v>-1054099.1551668057</v>
      </c>
      <c r="Q59" s="4">
        <f t="shared" si="5"/>
        <v>-1184424.1416237927</v>
      </c>
      <c r="R59" s="4">
        <f t="shared" si="5"/>
        <v>-1321619.9380285488</v>
      </c>
      <c r="S59" s="4">
        <f t="shared" si="5"/>
        <v>-1465981.5004901288</v>
      </c>
      <c r="T59" s="4">
        <f t="shared" si="5"/>
        <v>-1617815.2987551778</v>
      </c>
      <c r="U59" s="4">
        <f t="shared" si="5"/>
        <v>-1777439.741565689</v>
      </c>
      <c r="V59" s="4">
        <f t="shared" si="5"/>
        <v>-1945185.6171759511</v>
      </c>
      <c r="W59" s="4">
        <f t="shared" si="5"/>
        <v>-2121396.5495554199</v>
      </c>
      <c r="X59" s="4">
        <f t="shared" si="5"/>
        <v>-2306429.4708221983</v>
      </c>
      <c r="Y59" s="4">
        <f t="shared" si="5"/>
        <v>-2500655.110470383</v>
      </c>
      <c r="Z59" s="4">
        <f t="shared" si="5"/>
        <v>-2704458.5019737193</v>
      </c>
      <c r="AA59" s="4">
        <f t="shared" si="5"/>
        <v>-2918239.5073678317</v>
      </c>
      <c r="AB59" s="4">
        <f t="shared" si="5"/>
        <v>-3142413.3604338155</v>
      </c>
      <c r="AC59" s="4">
        <f t="shared" si="5"/>
        <v>-3377411.2291271267</v>
      </c>
      <c r="AD59" s="4">
        <f t="shared" si="5"/>
        <v>-3623680.7979176464</v>
      </c>
      <c r="AE59" s="4">
        <f t="shared" si="5"/>
        <v>-3881686.8707293835</v>
      </c>
      <c r="AF59" s="4">
        <f t="shared" si="5"/>
        <v>-4151911.995191698</v>
      </c>
      <c r="AG59" s="4">
        <f t="shared" si="5"/>
        <v>-4434857.1089380952</v>
      </c>
      <c r="AH59" s="4">
        <f t="shared" si="5"/>
        <v>-4731042.2087136041</v>
      </c>
    </row>
    <row r="60" spans="2:34" x14ac:dyDescent="0.3">
      <c r="B60" s="1" t="s">
        <v>43</v>
      </c>
      <c r="C60" s="4">
        <f>PMT($C$34,25,$C$18)</f>
        <v>-6187042.2239896161</v>
      </c>
      <c r="D60" s="4">
        <f>PMT($C$34,25,$C$18)</f>
        <v>-6187042.2239896161</v>
      </c>
      <c r="E60" s="4"/>
      <c r="F60" s="4"/>
      <c r="G60" s="4">
        <f t="shared" ref="G60:AH60" si="6">PMT($C$34,25,$C$18)</f>
        <v>-6187042.2239896161</v>
      </c>
      <c r="H60" s="4">
        <f t="shared" si="6"/>
        <v>-6187042.2239896161</v>
      </c>
      <c r="I60" s="4">
        <f t="shared" si="6"/>
        <v>-6187042.2239896161</v>
      </c>
      <c r="J60" s="4">
        <f t="shared" si="6"/>
        <v>-6187042.2239896161</v>
      </c>
      <c r="K60" s="4">
        <f t="shared" si="6"/>
        <v>-6187042.2239896161</v>
      </c>
      <c r="L60" s="4">
        <f t="shared" si="6"/>
        <v>-6187042.2239896161</v>
      </c>
      <c r="M60" s="4">
        <f t="shared" si="6"/>
        <v>-6187042.2239896161</v>
      </c>
      <c r="N60" s="4">
        <f t="shared" si="6"/>
        <v>-6187042.2239896161</v>
      </c>
      <c r="O60" s="4">
        <f t="shared" si="6"/>
        <v>-6187042.2239896161</v>
      </c>
      <c r="P60" s="4">
        <f t="shared" si="6"/>
        <v>-6187042.2239896161</v>
      </c>
      <c r="Q60" s="4">
        <f t="shared" si="6"/>
        <v>-6187042.2239896161</v>
      </c>
      <c r="R60" s="4">
        <f t="shared" si="6"/>
        <v>-6187042.2239896161</v>
      </c>
      <c r="S60" s="4">
        <f t="shared" si="6"/>
        <v>-6187042.2239896161</v>
      </c>
      <c r="T60" s="4">
        <f t="shared" si="6"/>
        <v>-6187042.2239896161</v>
      </c>
      <c r="U60" s="4">
        <f t="shared" si="6"/>
        <v>-6187042.2239896161</v>
      </c>
      <c r="V60" s="4">
        <f t="shared" si="6"/>
        <v>-6187042.2239896161</v>
      </c>
      <c r="W60" s="4">
        <f t="shared" si="6"/>
        <v>-6187042.2239896161</v>
      </c>
      <c r="X60" s="4">
        <f t="shared" si="6"/>
        <v>-6187042.2239896161</v>
      </c>
      <c r="Y60" s="4">
        <f t="shared" si="6"/>
        <v>-6187042.2239896161</v>
      </c>
      <c r="Z60" s="4">
        <f t="shared" si="6"/>
        <v>-6187042.2239896161</v>
      </c>
      <c r="AA60" s="4">
        <f t="shared" si="6"/>
        <v>-6187042.2239896161</v>
      </c>
      <c r="AB60" s="4">
        <f t="shared" si="6"/>
        <v>-6187042.2239896161</v>
      </c>
      <c r="AC60" s="4">
        <f t="shared" si="6"/>
        <v>-6187042.2239896161</v>
      </c>
      <c r="AD60" s="4">
        <f t="shared" si="6"/>
        <v>-6187042.2239896161</v>
      </c>
      <c r="AE60" s="4">
        <f t="shared" si="6"/>
        <v>-6187042.2239896161</v>
      </c>
      <c r="AF60" s="4">
        <f t="shared" si="6"/>
        <v>-6187042.2239896161</v>
      </c>
      <c r="AG60" s="4">
        <f t="shared" si="6"/>
        <v>-6187042.2239896161</v>
      </c>
      <c r="AH60" s="4">
        <f t="shared" si="6"/>
        <v>-6187042.2239896161</v>
      </c>
    </row>
    <row r="61" spans="2:34" x14ac:dyDescent="0.3">
      <c r="B61" s="1" t="s">
        <v>44</v>
      </c>
      <c r="C61" s="4">
        <f>PMT($C$34,30,$C$18)</f>
        <v>-5548052.6536040679</v>
      </c>
      <c r="D61" s="4">
        <f>PMT($C$34,30,$C$18)</f>
        <v>-5548052.6536040679</v>
      </c>
      <c r="E61" s="4"/>
      <c r="F61" s="4"/>
      <c r="G61" s="4">
        <f t="shared" ref="G61:AH61" si="7">PMT($C$34,30,$C$18)</f>
        <v>-5548052.6536040679</v>
      </c>
      <c r="H61" s="4">
        <f t="shared" si="7"/>
        <v>-5548052.6536040679</v>
      </c>
      <c r="I61" s="4">
        <f t="shared" si="7"/>
        <v>-5548052.6536040679</v>
      </c>
      <c r="J61" s="4">
        <f t="shared" si="7"/>
        <v>-5548052.6536040679</v>
      </c>
      <c r="K61" s="4">
        <f t="shared" si="7"/>
        <v>-5548052.6536040679</v>
      </c>
      <c r="L61" s="4">
        <f t="shared" si="7"/>
        <v>-5548052.6536040679</v>
      </c>
      <c r="M61" s="4">
        <f t="shared" si="7"/>
        <v>-5548052.6536040679</v>
      </c>
      <c r="N61" s="4">
        <f t="shared" si="7"/>
        <v>-5548052.6536040679</v>
      </c>
      <c r="O61" s="4">
        <f t="shared" si="7"/>
        <v>-5548052.6536040679</v>
      </c>
      <c r="P61" s="4">
        <f t="shared" si="7"/>
        <v>-5548052.6536040679</v>
      </c>
      <c r="Q61" s="4">
        <f t="shared" si="7"/>
        <v>-5548052.6536040679</v>
      </c>
      <c r="R61" s="4">
        <f t="shared" si="7"/>
        <v>-5548052.6536040679</v>
      </c>
      <c r="S61" s="4">
        <f t="shared" si="7"/>
        <v>-5548052.6536040679</v>
      </c>
      <c r="T61" s="4">
        <f t="shared" si="7"/>
        <v>-5548052.6536040679</v>
      </c>
      <c r="U61" s="4">
        <f t="shared" si="7"/>
        <v>-5548052.6536040679</v>
      </c>
      <c r="V61" s="4">
        <f t="shared" si="7"/>
        <v>-5548052.6536040679</v>
      </c>
      <c r="W61" s="4">
        <f t="shared" si="7"/>
        <v>-5548052.6536040679</v>
      </c>
      <c r="X61" s="4">
        <f t="shared" si="7"/>
        <v>-5548052.6536040679</v>
      </c>
      <c r="Y61" s="4">
        <f t="shared" si="7"/>
        <v>-5548052.6536040679</v>
      </c>
      <c r="Z61" s="4">
        <f t="shared" si="7"/>
        <v>-5548052.6536040679</v>
      </c>
      <c r="AA61" s="4">
        <f t="shared" si="7"/>
        <v>-5548052.6536040679</v>
      </c>
      <c r="AB61" s="4">
        <f t="shared" si="7"/>
        <v>-5548052.6536040679</v>
      </c>
      <c r="AC61" s="4">
        <f t="shared" si="7"/>
        <v>-5548052.6536040679</v>
      </c>
      <c r="AD61" s="4">
        <f t="shared" si="7"/>
        <v>-5548052.6536040679</v>
      </c>
      <c r="AE61" s="4">
        <f t="shared" si="7"/>
        <v>-5548052.6536040679</v>
      </c>
      <c r="AF61" s="4">
        <f t="shared" si="7"/>
        <v>-5548052.6536040679</v>
      </c>
      <c r="AG61" s="4">
        <f t="shared" si="7"/>
        <v>-5548052.6536040679</v>
      </c>
      <c r="AH61" s="4">
        <f t="shared" si="7"/>
        <v>-5548052.6536040679</v>
      </c>
    </row>
    <row r="62" spans="2:34" x14ac:dyDescent="0.3">
      <c r="B62" s="1" t="s">
        <v>32</v>
      </c>
      <c r="C62" s="4">
        <f>+C60+C59+C58+C57</f>
        <v>-7666217.2239896161</v>
      </c>
      <c r="D62" s="4">
        <f t="shared" ref="D62:AH62" si="8">+D60+D59+D58+D57</f>
        <v>-7767105.1573584704</v>
      </c>
      <c r="E62" s="4"/>
      <c r="F62" s="4"/>
      <c r="G62" s="4">
        <f t="shared" si="8"/>
        <v>-7872863.0267294561</v>
      </c>
      <c r="H62" s="4">
        <f t="shared" si="8"/>
        <v>-7983695.1874726685</v>
      </c>
      <c r="I62" s="4">
        <f t="shared" si="8"/>
        <v>-8099813.9325050088</v>
      </c>
      <c r="J62" s="4">
        <f t="shared" si="8"/>
        <v>-8221439.7858064948</v>
      </c>
      <c r="K62" s="4">
        <f t="shared" si="8"/>
        <v>-8348801.8064274322</v>
      </c>
      <c r="L62" s="4">
        <f t="shared" si="8"/>
        <v>-8482137.9033521973</v>
      </c>
      <c r="M62" s="4">
        <f t="shared" si="8"/>
        <v>-8621695.1615979075</v>
      </c>
      <c r="N62" s="4">
        <f t="shared" si="8"/>
        <v>-8767730.1799391769</v>
      </c>
      <c r="O62" s="4">
        <f t="shared" si="8"/>
        <v>-8920509.4206635654</v>
      </c>
      <c r="P62" s="4">
        <f t="shared" si="8"/>
        <v>-9080309.5717760827</v>
      </c>
      <c r="Q62" s="4">
        <f t="shared" si="8"/>
        <v>-19350542.62462135</v>
      </c>
      <c r="R62" s="4">
        <f t="shared" si="8"/>
        <v>-9422132.749619659</v>
      </c>
      <c r="S62" s="4">
        <f t="shared" si="8"/>
        <v>-9604763.7238332704</v>
      </c>
      <c r="T62" s="4">
        <f t="shared" si="8"/>
        <v>-9795632.322085388</v>
      </c>
      <c r="U62" s="4">
        <f t="shared" si="8"/>
        <v>-9995072.2608827129</v>
      </c>
      <c r="V62" s="4">
        <f t="shared" si="8"/>
        <v>-10203429.942399522</v>
      </c>
      <c r="W62" s="4">
        <f t="shared" si="8"/>
        <v>-10421064.916803671</v>
      </c>
      <c r="X62" s="4">
        <f t="shared" si="8"/>
        <v>-10648350.360935621</v>
      </c>
      <c r="Y62" s="4">
        <f t="shared" si="8"/>
        <v>-10885673.573906284</v>
      </c>
      <c r="Z62" s="4">
        <f t="shared" si="8"/>
        <v>-11133436.490198545</v>
      </c>
      <c r="AA62" s="4">
        <f t="shared" si="8"/>
        <v>-11392056.210877363</v>
      </c>
      <c r="AB62" s="4">
        <f t="shared" si="8"/>
        <v>-11661965.553533744</v>
      </c>
      <c r="AC62" s="4">
        <f t="shared" si="8"/>
        <v>-11943613.621609263</v>
      </c>
      <c r="AD62" s="4">
        <f t="shared" si="8"/>
        <v>-12237466.393769633</v>
      </c>
      <c r="AE62" s="4">
        <f t="shared" si="8"/>
        <v>-12544007.334018618</v>
      </c>
      <c r="AF62" s="4">
        <f t="shared" si="8"/>
        <v>-12863738.023266923</v>
      </c>
      <c r="AG62" s="4">
        <f t="shared" si="8"/>
        <v>-13197178.813095033</v>
      </c>
      <c r="AH62" s="4">
        <f t="shared" si="8"/>
        <v>-13544869.502473887</v>
      </c>
    </row>
    <row r="63" spans="2:34" x14ac:dyDescent="0.3">
      <c r="B63" s="5" t="s">
        <v>46</v>
      </c>
      <c r="C63" s="4">
        <f>SUM(C53:C60)-C55</f>
        <v>200556.0956103839</v>
      </c>
      <c r="D63" s="4">
        <f t="shared" ref="D63:AC63" si="9">SUM(D53:D60)-D55</f>
        <v>335671.36182952859</v>
      </c>
      <c r="E63" s="4"/>
      <c r="F63" s="4"/>
      <c r="G63" s="4">
        <f t="shared" si="9"/>
        <v>472996.7880341839</v>
      </c>
      <c r="H63" s="4">
        <f t="shared" si="9"/>
        <v>612540.42173388228</v>
      </c>
      <c r="I63" s="4">
        <f t="shared" si="9"/>
        <v>754308.74497773498</v>
      </c>
      <c r="J63" s="4">
        <f t="shared" si="9"/>
        <v>898306.57200073823</v>
      </c>
      <c r="K63" s="4">
        <f t="shared" si="9"/>
        <v>1044536.9421140123</v>
      </c>
      <c r="L63" s="4">
        <f t="shared" si="9"/>
        <v>1193001.0076454896</v>
      </c>
      <c r="M63" s="4">
        <f t="shared" si="9"/>
        <v>1343697.9167297147</v>
      </c>
      <c r="N63" s="4">
        <f t="shared" si="9"/>
        <v>1496624.6907382738</v>
      </c>
      <c r="O63" s="4">
        <f t="shared" si="9"/>
        <v>1651776.09613421</v>
      </c>
      <c r="P63" s="4">
        <f t="shared" si="9"/>
        <v>1809144.5105256289</v>
      </c>
      <c r="Q63" s="4">
        <f t="shared" si="9"/>
        <v>-8134404.9198505906</v>
      </c>
      <c r="R63" s="4">
        <f t="shared" si="9"/>
        <v>2130489.0862942263</v>
      </c>
      <c r="S63" s="4">
        <f t="shared" si="9"/>
        <v>2294436.7671580315</v>
      </c>
      <c r="T63" s="4">
        <f t="shared" si="9"/>
        <v>2460544.1836356521</v>
      </c>
      <c r="U63" s="4">
        <f t="shared" si="9"/>
        <v>2628789.5400099587</v>
      </c>
      <c r="V63" s="4">
        <f t="shared" si="9"/>
        <v>2799147.7125199288</v>
      </c>
      <c r="W63" s="4">
        <f t="shared" si="9"/>
        <v>2971590.0677633658</v>
      </c>
      <c r="X63" s="4">
        <f t="shared" si="9"/>
        <v>3146084.273168426</v>
      </c>
      <c r="Y63" s="4">
        <f t="shared" si="9"/>
        <v>3322594.099220885</v>
      </c>
      <c r="Z63" s="4">
        <f t="shared" si="9"/>
        <v>3501079.2131224424</v>
      </c>
      <c r="AA63" s="4">
        <f t="shared" si="9"/>
        <v>3681494.9635432549</v>
      </c>
      <c r="AB63" s="4">
        <f t="shared" si="9"/>
        <v>3863792.15611949</v>
      </c>
      <c r="AC63" s="4">
        <f t="shared" si="9"/>
        <v>4047916.8193335719</v>
      </c>
      <c r="AD63" s="4">
        <f t="shared" ref="AD63:AH63" si="10">SUM(AD53:AD60)-AD55</f>
        <v>4233809.9604014866</v>
      </c>
      <c r="AE63" s="4">
        <f t="shared" si="10"/>
        <v>4421407.3107776381</v>
      </c>
      <c r="AF63" s="4">
        <f t="shared" si="10"/>
        <v>4610639.0608732216</v>
      </c>
      <c r="AG63" s="4">
        <f t="shared" si="10"/>
        <v>4801429.5835693143</v>
      </c>
      <c r="AH63" s="4">
        <f t="shared" si="10"/>
        <v>4993697.1460903846</v>
      </c>
    </row>
    <row r="64" spans="2:34" x14ac:dyDescent="0.3">
      <c r="C64" s="4"/>
      <c r="D64" s="17">
        <v>0.88</v>
      </c>
      <c r="E64" s="17"/>
      <c r="F64" s="17"/>
      <c r="G64" s="17">
        <f>+D64+0.88</f>
        <v>1.76</v>
      </c>
      <c r="H64" s="17">
        <f t="shared" ref="H64:AH64" si="11">+G64+0.88</f>
        <v>2.64</v>
      </c>
      <c r="I64" s="17">
        <f t="shared" si="11"/>
        <v>3.52</v>
      </c>
      <c r="J64" s="17">
        <f t="shared" si="11"/>
        <v>4.4000000000000004</v>
      </c>
      <c r="K64" s="17">
        <f t="shared" si="11"/>
        <v>5.28</v>
      </c>
      <c r="L64" s="17">
        <f t="shared" si="11"/>
        <v>6.16</v>
      </c>
      <c r="M64" s="17">
        <f t="shared" si="11"/>
        <v>7.04</v>
      </c>
      <c r="N64" s="17">
        <f t="shared" si="11"/>
        <v>7.92</v>
      </c>
      <c r="O64" s="17">
        <f t="shared" si="11"/>
        <v>8.8000000000000007</v>
      </c>
      <c r="P64" s="17">
        <f t="shared" si="11"/>
        <v>9.6800000000000015</v>
      </c>
      <c r="Q64" s="17">
        <f t="shared" si="11"/>
        <v>10.560000000000002</v>
      </c>
      <c r="R64" s="17">
        <f t="shared" si="11"/>
        <v>11.440000000000003</v>
      </c>
      <c r="S64" s="17">
        <f t="shared" si="11"/>
        <v>12.320000000000004</v>
      </c>
      <c r="T64" s="17">
        <f t="shared" si="11"/>
        <v>13.200000000000005</v>
      </c>
      <c r="U64" s="17">
        <f t="shared" si="11"/>
        <v>14.080000000000005</v>
      </c>
      <c r="V64" s="17">
        <f t="shared" si="11"/>
        <v>14.960000000000006</v>
      </c>
      <c r="W64" s="17">
        <f t="shared" si="11"/>
        <v>15.840000000000007</v>
      </c>
      <c r="X64" s="17">
        <f t="shared" si="11"/>
        <v>16.720000000000006</v>
      </c>
      <c r="Y64" s="17">
        <f t="shared" si="11"/>
        <v>17.600000000000005</v>
      </c>
      <c r="Z64" s="17">
        <f t="shared" si="11"/>
        <v>18.480000000000004</v>
      </c>
      <c r="AA64" s="17">
        <f t="shared" si="11"/>
        <v>19.360000000000003</v>
      </c>
      <c r="AB64" s="17">
        <f t="shared" si="11"/>
        <v>20.240000000000002</v>
      </c>
      <c r="AC64" s="17">
        <f t="shared" si="11"/>
        <v>21.12</v>
      </c>
      <c r="AD64" s="17">
        <f t="shared" si="11"/>
        <v>22</v>
      </c>
      <c r="AE64" s="17">
        <f t="shared" si="11"/>
        <v>22.88</v>
      </c>
      <c r="AF64" s="17">
        <f t="shared" si="11"/>
        <v>23.759999999999998</v>
      </c>
      <c r="AG64" s="17">
        <f t="shared" si="11"/>
        <v>24.639999999999997</v>
      </c>
      <c r="AH64" s="17">
        <f t="shared" si="11"/>
        <v>25.519999999999996</v>
      </c>
    </row>
    <row r="65" spans="2:34" x14ac:dyDescent="0.3">
      <c r="B65" s="3" t="s">
        <v>45</v>
      </c>
      <c r="C65" s="4">
        <f>SUM(C53:C61)-C55-C60</f>
        <v>839545.66599593218</v>
      </c>
      <c r="D65" s="4">
        <f>SUM(D53:D61)-D55-D60</f>
        <v>974660.93221507687</v>
      </c>
      <c r="E65" s="4"/>
      <c r="F65" s="4"/>
      <c r="G65" s="4">
        <f t="shared" ref="G65:AG65" si="12">SUM(G53:G61)-G55-G60</f>
        <v>1111986.3584197322</v>
      </c>
      <c r="H65" s="4">
        <f t="shared" si="12"/>
        <v>1251529.9921194306</v>
      </c>
      <c r="I65" s="4">
        <f t="shared" si="12"/>
        <v>1393298.3153632833</v>
      </c>
      <c r="J65" s="4">
        <f t="shared" si="12"/>
        <v>1537296.1423862865</v>
      </c>
      <c r="K65" s="4">
        <f t="shared" si="12"/>
        <v>1683526.5124995606</v>
      </c>
      <c r="L65" s="4">
        <f t="shared" si="12"/>
        <v>1831990.5780310379</v>
      </c>
      <c r="M65" s="4">
        <f t="shared" si="12"/>
        <v>1982687.487115263</v>
      </c>
      <c r="N65" s="4">
        <f t="shared" si="12"/>
        <v>2135614.2611238221</v>
      </c>
      <c r="O65" s="4">
        <f t="shared" si="12"/>
        <v>2290765.6665197583</v>
      </c>
      <c r="P65" s="4">
        <f t="shared" si="12"/>
        <v>2448134.0809111772</v>
      </c>
      <c r="Q65" s="4">
        <f t="shared" si="12"/>
        <v>-7495415.3494650433</v>
      </c>
      <c r="R65" s="4">
        <f t="shared" si="12"/>
        <v>2769478.6566797746</v>
      </c>
      <c r="S65" s="4">
        <f t="shared" si="12"/>
        <v>2933426.3375435797</v>
      </c>
      <c r="T65" s="4">
        <f t="shared" si="12"/>
        <v>3099533.7540212004</v>
      </c>
      <c r="U65" s="4">
        <f t="shared" si="12"/>
        <v>3267779.110395507</v>
      </c>
      <c r="V65" s="4">
        <f t="shared" si="12"/>
        <v>3438137.2829054771</v>
      </c>
      <c r="W65" s="4">
        <f t="shared" si="12"/>
        <v>3610579.6381489141</v>
      </c>
      <c r="X65" s="4">
        <f t="shared" si="12"/>
        <v>3785073.8435539743</v>
      </c>
      <c r="Y65" s="4">
        <f t="shared" si="12"/>
        <v>3961583.6696064333</v>
      </c>
      <c r="Z65" s="4">
        <f t="shared" si="12"/>
        <v>4140068.7835079907</v>
      </c>
      <c r="AA65" s="4">
        <f t="shared" si="12"/>
        <v>4320484.5339288032</v>
      </c>
      <c r="AB65" s="4">
        <f t="shared" si="12"/>
        <v>4502781.7265050383</v>
      </c>
      <c r="AC65" s="4">
        <f t="shared" si="12"/>
        <v>4686906.3897191202</v>
      </c>
      <c r="AD65" s="4">
        <f t="shared" si="12"/>
        <v>4872799.5307870349</v>
      </c>
      <c r="AE65" s="4">
        <f t="shared" si="12"/>
        <v>5060396.8811631864</v>
      </c>
      <c r="AF65" s="4">
        <f t="shared" si="12"/>
        <v>5249628.6312587699</v>
      </c>
      <c r="AG65" s="4">
        <f t="shared" si="12"/>
        <v>5440419.1539548626</v>
      </c>
      <c r="AH65" s="4">
        <f>SUM(AH53:AH61)-AH55-AH60</f>
        <v>5632686.7164759329</v>
      </c>
    </row>
    <row r="66" spans="2:34" x14ac:dyDescent="0.3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2:34" x14ac:dyDescent="0.3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2:34" x14ac:dyDescent="0.3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2:34" x14ac:dyDescent="0.3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2:34" x14ac:dyDescent="0.3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2:34" x14ac:dyDescent="0.3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2:34" x14ac:dyDescent="0.3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2:34" x14ac:dyDescent="0.3">
      <c r="C73" s="17"/>
      <c r="D73" s="17"/>
      <c r="E73" s="17"/>
      <c r="F73" s="1" t="s">
        <v>3</v>
      </c>
      <c r="G73" s="49" t="s">
        <v>98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2:34" x14ac:dyDescent="0.3">
      <c r="C74" s="17"/>
      <c r="D74" s="17"/>
      <c r="E74" s="17"/>
      <c r="F74" s="1" t="s">
        <v>25</v>
      </c>
      <c r="G74" s="49" t="s">
        <v>95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2:34" x14ac:dyDescent="0.3">
      <c r="C75" s="17"/>
      <c r="D75" s="17"/>
      <c r="E75" s="17"/>
      <c r="F75" s="1" t="s">
        <v>26</v>
      </c>
      <c r="G75" s="49" t="s">
        <v>92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2:34" x14ac:dyDescent="0.3">
      <c r="C76" s="17"/>
      <c r="D76" s="17"/>
      <c r="E76" s="17"/>
      <c r="F76" s="1" t="s">
        <v>74</v>
      </c>
      <c r="G76" s="49" t="s">
        <v>93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2:34" x14ac:dyDescent="0.3">
      <c r="C77" s="17"/>
      <c r="D77" s="17"/>
      <c r="E77" s="17"/>
      <c r="F77" s="1" t="s">
        <v>88</v>
      </c>
      <c r="G77" s="49" t="s">
        <v>94</v>
      </c>
      <c r="H77" s="17"/>
      <c r="I77" s="17"/>
      <c r="J77" s="17"/>
      <c r="K77" s="17"/>
      <c r="L77" s="17"/>
      <c r="M77" s="17"/>
      <c r="N77" s="17"/>
      <c r="O77" s="17"/>
      <c r="P77" s="17"/>
      <c r="Q77" s="17">
        <f>PMT(C34,13,Q57)</f>
        <v>983097.77334999351</v>
      </c>
      <c r="R77" s="17">
        <f>+Q77</f>
        <v>983097.77334999351</v>
      </c>
      <c r="S77" s="17">
        <f t="shared" ref="S77:AC77" si="13">+R77</f>
        <v>983097.77334999351</v>
      </c>
      <c r="T77" s="17">
        <f t="shared" si="13"/>
        <v>983097.77334999351</v>
      </c>
      <c r="U77" s="17">
        <f t="shared" si="13"/>
        <v>983097.77334999351</v>
      </c>
      <c r="V77" s="17">
        <f t="shared" si="13"/>
        <v>983097.77334999351</v>
      </c>
      <c r="W77" s="17">
        <f t="shared" si="13"/>
        <v>983097.77334999351</v>
      </c>
      <c r="X77" s="17">
        <f t="shared" si="13"/>
        <v>983097.77334999351</v>
      </c>
      <c r="Y77" s="17">
        <f t="shared" si="13"/>
        <v>983097.77334999351</v>
      </c>
      <c r="Z77" s="17">
        <f t="shared" si="13"/>
        <v>983097.77334999351</v>
      </c>
      <c r="AA77" s="17">
        <f t="shared" si="13"/>
        <v>983097.77334999351</v>
      </c>
      <c r="AB77" s="17">
        <f t="shared" si="13"/>
        <v>983097.77334999351</v>
      </c>
      <c r="AC77" s="17">
        <f t="shared" si="13"/>
        <v>983097.77334999351</v>
      </c>
    </row>
    <row r="78" spans="2:34" x14ac:dyDescent="0.3">
      <c r="C78" s="17"/>
      <c r="D78" s="17"/>
      <c r="E78" s="17"/>
      <c r="F78" s="1" t="s">
        <v>89</v>
      </c>
      <c r="G78" s="49" t="s">
        <v>91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2:34" x14ac:dyDescent="0.3">
      <c r="C79" s="17"/>
      <c r="D79" s="17"/>
      <c r="E79" s="17"/>
      <c r="F79" s="1" t="s">
        <v>90</v>
      </c>
      <c r="G79" s="50" t="s">
        <v>100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2:34" ht="27" x14ac:dyDescent="0.3">
      <c r="C80" s="17"/>
      <c r="D80" s="17"/>
      <c r="E80" s="17"/>
      <c r="F80" s="32" t="s">
        <v>99</v>
      </c>
      <c r="G80" s="50" t="s">
        <v>93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2:29" x14ac:dyDescent="0.3">
      <c r="C81" s="17"/>
      <c r="D81" s="17"/>
      <c r="E81" s="17"/>
      <c r="F81" s="32" t="s">
        <v>101</v>
      </c>
      <c r="G81" s="50" t="s">
        <v>102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2:29" ht="27" x14ac:dyDescent="0.3">
      <c r="C82" s="17"/>
      <c r="D82" s="17"/>
      <c r="E82" s="17"/>
      <c r="F82" s="32" t="s">
        <v>97</v>
      </c>
      <c r="G82" s="50" t="s">
        <v>96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2:29" x14ac:dyDescent="0.3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2:29" x14ac:dyDescent="0.3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2:29" x14ac:dyDescent="0.3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7" spans="2:29" x14ac:dyDescent="0.3">
      <c r="B87" s="3" t="s">
        <v>33</v>
      </c>
    </row>
    <row r="88" spans="2:29" x14ac:dyDescent="0.3">
      <c r="B88" s="3" t="str">
        <f>+B55</f>
        <v>total indtægter</v>
      </c>
      <c r="C88" s="17">
        <f t="shared" ref="C88:AC88" si="14">+C55</f>
        <v>7866773.3196</v>
      </c>
      <c r="D88" s="17">
        <f t="shared" si="14"/>
        <v>8102776.5191879999</v>
      </c>
      <c r="E88" s="17"/>
      <c r="F88" s="17"/>
      <c r="G88" s="17">
        <f t="shared" si="14"/>
        <v>8345859.814763641</v>
      </c>
      <c r="H88" s="17">
        <f t="shared" si="14"/>
        <v>8596235.6092065498</v>
      </c>
      <c r="I88" s="17">
        <f t="shared" si="14"/>
        <v>8854122.6774827465</v>
      </c>
      <c r="J88" s="17">
        <f t="shared" si="14"/>
        <v>9119746.3578072302</v>
      </c>
      <c r="K88" s="17">
        <f t="shared" si="14"/>
        <v>9393338.7485414464</v>
      </c>
      <c r="L88" s="17">
        <f t="shared" si="14"/>
        <v>9675138.9109976906</v>
      </c>
      <c r="M88" s="17">
        <f t="shared" si="14"/>
        <v>9965393.0783276223</v>
      </c>
      <c r="N88" s="17">
        <f t="shared" si="14"/>
        <v>10264354.870677451</v>
      </c>
      <c r="O88" s="17">
        <f t="shared" si="14"/>
        <v>10572285.516797775</v>
      </c>
      <c r="P88" s="17">
        <f t="shared" si="14"/>
        <v>10889454.08230171</v>
      </c>
      <c r="Q88" s="17">
        <f t="shared" si="14"/>
        <v>11216137.704770761</v>
      </c>
      <c r="R88" s="17">
        <f t="shared" si="14"/>
        <v>11552621.835913885</v>
      </c>
      <c r="S88" s="17">
        <f t="shared" si="14"/>
        <v>11899200.490991302</v>
      </c>
      <c r="T88" s="17">
        <f t="shared" si="14"/>
        <v>12256176.50572104</v>
      </c>
      <c r="U88" s="17">
        <f t="shared" si="14"/>
        <v>12623861.800892672</v>
      </c>
      <c r="V88" s="17">
        <f t="shared" si="14"/>
        <v>13002577.654919453</v>
      </c>
      <c r="W88" s="17">
        <f t="shared" si="14"/>
        <v>13392654.984567039</v>
      </c>
      <c r="X88" s="17">
        <f t="shared" si="14"/>
        <v>13794434.634104051</v>
      </c>
      <c r="Y88" s="17">
        <f t="shared" si="14"/>
        <v>14208267.673127173</v>
      </c>
      <c r="Z88" s="17">
        <f t="shared" si="14"/>
        <v>14634515.703320988</v>
      </c>
      <c r="AA88" s="17">
        <f t="shared" si="14"/>
        <v>15073551.174420618</v>
      </c>
      <c r="AB88" s="17">
        <f t="shared" si="14"/>
        <v>15525757.709653238</v>
      </c>
      <c r="AC88" s="17">
        <f t="shared" si="14"/>
        <v>15991530.440942835</v>
      </c>
    </row>
    <row r="89" spans="2:29" hidden="1" x14ac:dyDescent="0.3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2:29" x14ac:dyDescent="0.3">
      <c r="B90" s="3" t="str">
        <f>+B62</f>
        <v>total udgifter</v>
      </c>
      <c r="C90" s="17">
        <f>+C62*-1</f>
        <v>7666217.2239896161</v>
      </c>
      <c r="D90" s="17">
        <f t="shared" ref="D90:P90" si="15">+D62*-1</f>
        <v>7767105.1573584704</v>
      </c>
      <c r="E90" s="17"/>
      <c r="F90" s="17"/>
      <c r="G90" s="17">
        <f t="shared" si="15"/>
        <v>7872863.0267294561</v>
      </c>
      <c r="H90" s="17">
        <f t="shared" si="15"/>
        <v>7983695.1874726685</v>
      </c>
      <c r="I90" s="17">
        <f t="shared" si="15"/>
        <v>8099813.9325050088</v>
      </c>
      <c r="J90" s="17">
        <f t="shared" si="15"/>
        <v>8221439.7858064948</v>
      </c>
      <c r="K90" s="17">
        <f t="shared" si="15"/>
        <v>8348801.8064274322</v>
      </c>
      <c r="L90" s="17">
        <f t="shared" si="15"/>
        <v>8482137.9033521973</v>
      </c>
      <c r="M90" s="17">
        <f t="shared" si="15"/>
        <v>8621695.1615979075</v>
      </c>
      <c r="N90" s="17">
        <f t="shared" si="15"/>
        <v>8767730.1799391769</v>
      </c>
      <c r="O90" s="17">
        <f t="shared" si="15"/>
        <v>8920509.4206635654</v>
      </c>
      <c r="P90" s="17">
        <f t="shared" si="15"/>
        <v>9080309.5717760827</v>
      </c>
      <c r="Q90" s="17">
        <f>+Q62*-1+Q57+Q77</f>
        <v>10230515.695435455</v>
      </c>
      <c r="R90" s="17">
        <f t="shared" ref="R90:AC90" si="16">+R62*-1+R57+R77</f>
        <v>10405230.522969652</v>
      </c>
      <c r="S90" s="17">
        <f t="shared" si="16"/>
        <v>10587861.497183263</v>
      </c>
      <c r="T90" s="17">
        <f t="shared" si="16"/>
        <v>10778730.095435381</v>
      </c>
      <c r="U90" s="17">
        <f t="shared" si="16"/>
        <v>10978170.034232706</v>
      </c>
      <c r="V90" s="17">
        <f t="shared" si="16"/>
        <v>11186527.715749515</v>
      </c>
      <c r="W90" s="17">
        <f t="shared" si="16"/>
        <v>11404162.690153664</v>
      </c>
      <c r="X90" s="17">
        <f t="shared" si="16"/>
        <v>11631448.134285614</v>
      </c>
      <c r="Y90" s="17">
        <f t="shared" si="16"/>
        <v>11868771.347256277</v>
      </c>
      <c r="Z90" s="17">
        <f t="shared" si="16"/>
        <v>12116534.263548538</v>
      </c>
      <c r="AA90" s="17">
        <f t="shared" si="16"/>
        <v>12375153.984227356</v>
      </c>
      <c r="AB90" s="17">
        <f t="shared" si="16"/>
        <v>12645063.326883737</v>
      </c>
      <c r="AC90" s="17">
        <f t="shared" si="16"/>
        <v>12926711.394959256</v>
      </c>
    </row>
    <row r="91" spans="2:29" x14ac:dyDescent="0.3">
      <c r="B91" s="3" t="str">
        <f>+B63</f>
        <v>Netto Cashflow 25 år</v>
      </c>
      <c r="C91" s="17">
        <f t="shared" ref="C91:AC91" si="17">+C63</f>
        <v>200556.0956103839</v>
      </c>
      <c r="D91" s="17">
        <f t="shared" si="17"/>
        <v>335671.36182952859</v>
      </c>
      <c r="E91" s="17"/>
      <c r="F91" s="17"/>
      <c r="G91" s="17">
        <f t="shared" si="17"/>
        <v>472996.7880341839</v>
      </c>
      <c r="H91" s="17">
        <f t="shared" si="17"/>
        <v>612540.42173388228</v>
      </c>
      <c r="I91" s="17">
        <f t="shared" si="17"/>
        <v>754308.74497773498</v>
      </c>
      <c r="J91" s="17">
        <f t="shared" si="17"/>
        <v>898306.57200073823</v>
      </c>
      <c r="K91" s="17">
        <f t="shared" si="17"/>
        <v>1044536.9421140123</v>
      </c>
      <c r="L91" s="17">
        <f t="shared" si="17"/>
        <v>1193001.0076454896</v>
      </c>
      <c r="M91" s="17">
        <f t="shared" si="17"/>
        <v>1343697.9167297147</v>
      </c>
      <c r="N91" s="17">
        <f t="shared" si="17"/>
        <v>1496624.6907382738</v>
      </c>
      <c r="O91" s="17">
        <f t="shared" si="17"/>
        <v>1651776.09613421</v>
      </c>
      <c r="P91" s="17">
        <f t="shared" si="17"/>
        <v>1809144.5105256289</v>
      </c>
      <c r="Q91" s="17">
        <f t="shared" si="17"/>
        <v>-8134404.9198505906</v>
      </c>
      <c r="R91" s="17">
        <f t="shared" si="17"/>
        <v>2130489.0862942263</v>
      </c>
      <c r="S91" s="17">
        <f t="shared" si="17"/>
        <v>2294436.7671580315</v>
      </c>
      <c r="T91" s="17">
        <f t="shared" si="17"/>
        <v>2460544.1836356521</v>
      </c>
      <c r="U91" s="17">
        <f t="shared" si="17"/>
        <v>2628789.5400099587</v>
      </c>
      <c r="V91" s="17">
        <f t="shared" si="17"/>
        <v>2799147.7125199288</v>
      </c>
      <c r="W91" s="17">
        <f t="shared" si="17"/>
        <v>2971590.0677633658</v>
      </c>
      <c r="X91" s="17">
        <f t="shared" si="17"/>
        <v>3146084.273168426</v>
      </c>
      <c r="Y91" s="17">
        <f t="shared" si="17"/>
        <v>3322594.099220885</v>
      </c>
      <c r="Z91" s="17">
        <f t="shared" si="17"/>
        <v>3501079.2131224424</v>
      </c>
      <c r="AA91" s="17">
        <f t="shared" si="17"/>
        <v>3681494.9635432549</v>
      </c>
      <c r="AB91" s="17">
        <f t="shared" si="17"/>
        <v>3863792.15611949</v>
      </c>
      <c r="AC91" s="17">
        <f t="shared" si="17"/>
        <v>4047916.8193335719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66E21-C4D9-4948-A3B3-E40AA0119BAA}">
  <dimension ref="B2:F23"/>
  <sheetViews>
    <sheetView topLeftCell="A4" workbookViewId="0">
      <selection activeCell="B21" sqref="B21"/>
    </sheetView>
  </sheetViews>
  <sheetFormatPr defaultRowHeight="13.5" x14ac:dyDescent="0.3"/>
  <cols>
    <col min="2" max="2" width="22.53515625" bestFit="1" customWidth="1"/>
    <col min="3" max="3" width="12.69140625" bestFit="1" customWidth="1"/>
  </cols>
  <sheetData>
    <row r="2" spans="2:6" x14ac:dyDescent="0.3">
      <c r="B2" t="s">
        <v>76</v>
      </c>
    </row>
    <row r="4" spans="2:6" x14ac:dyDescent="0.3">
      <c r="B4" s="41" t="str">
        <f>'Case juni 2022'!B11</f>
        <v>Areal</v>
      </c>
      <c r="C4" s="35">
        <f>'Case juni 2022'!C11</f>
        <v>71000.400000000009</v>
      </c>
      <c r="D4" s="41" t="str">
        <f>'Case juni 2022'!D11</f>
        <v>m2</v>
      </c>
    </row>
    <row r="5" spans="2:6" x14ac:dyDescent="0.3">
      <c r="B5" s="41" t="str">
        <f>'Case juni 2022'!B12</f>
        <v>Effekt</v>
      </c>
      <c r="C5" s="4">
        <f>'Case juni 2022'!C12</f>
        <v>14200.08</v>
      </c>
      <c r="D5" s="41" t="str">
        <f>'Case juni 2022'!D12</f>
        <v>kWp</v>
      </c>
    </row>
    <row r="6" spans="2:6" x14ac:dyDescent="0.3">
      <c r="B6" s="41" t="str">
        <f>'Case juni 2022'!B13</f>
        <v>Produktion/kWp</v>
      </c>
      <c r="C6" s="1">
        <f>'Case juni 2022'!C13</f>
        <v>900</v>
      </c>
      <c r="D6" s="41" t="str">
        <f>'Case juni 2022'!D13</f>
        <v>kWh/kWp</v>
      </c>
    </row>
    <row r="7" spans="2:6" x14ac:dyDescent="0.3">
      <c r="B7" s="41" t="str">
        <f>'Case juni 2022'!B14</f>
        <v>Produktion</v>
      </c>
      <c r="C7" s="35">
        <f>'Case juni 2022'!C14</f>
        <v>12780072</v>
      </c>
      <c r="D7" s="41" t="str">
        <f>'Case juni 2022'!D14</f>
        <v>kWh/år</v>
      </c>
    </row>
    <row r="8" spans="2:6" x14ac:dyDescent="0.3">
      <c r="B8" s="41" t="str">
        <f>'Case juni 2022'!B15</f>
        <v>Anskaffelse + montering</v>
      </c>
      <c r="C8" s="35">
        <f>'Case juni 2022'!C15</f>
        <v>81650460.000000015</v>
      </c>
      <c r="D8" s="41" t="str">
        <f>'Case juni 2022'!D15</f>
        <v>kr.</v>
      </c>
    </row>
    <row r="9" spans="2:6" x14ac:dyDescent="0.3">
      <c r="B9" s="41" t="str">
        <f>'Case juni 2022'!B16</f>
        <v>Klargørelse af tag</v>
      </c>
      <c r="C9" s="35">
        <f>'Case juni 2022'!C16</f>
        <v>10650060.000000002</v>
      </c>
      <c r="D9" s="41" t="str">
        <f>'Case juni 2022'!D16</f>
        <v>kr.</v>
      </c>
    </row>
    <row r="10" spans="2:6" x14ac:dyDescent="0.3">
      <c r="B10" s="41" t="str">
        <f>'Case juni 2022'!B17</f>
        <v>Projektledelse + rådgivning</v>
      </c>
      <c r="C10" s="35">
        <f>'Case juni 2022'!C17</f>
        <v>9230052.0000000019</v>
      </c>
      <c r="D10" s="41" t="str">
        <f>'Case juni 2022'!D17</f>
        <v>kr.</v>
      </c>
    </row>
    <row r="11" spans="2:6" x14ac:dyDescent="0.3">
      <c r="B11" s="41" t="str">
        <f>'Case juni 2022'!B18</f>
        <v>Total investering anlæg</v>
      </c>
      <c r="C11" s="6">
        <f>'Case juni 2022'!C18</f>
        <v>101530572.00000001</v>
      </c>
      <c r="D11" s="41" t="str">
        <f>'Case juni 2022'!D18</f>
        <v>kr.</v>
      </c>
    </row>
    <row r="13" spans="2:6" x14ac:dyDescent="0.3">
      <c r="F13" t="s">
        <v>81</v>
      </c>
    </row>
    <row r="14" spans="2:6" x14ac:dyDescent="0.3">
      <c r="B14" t="s">
        <v>77</v>
      </c>
    </row>
    <row r="15" spans="2:6" x14ac:dyDescent="0.3">
      <c r="B15" t="str">
        <f>+B8</f>
        <v>Anskaffelse + montering</v>
      </c>
      <c r="C15" s="42">
        <f>+C8*600/C$4</f>
        <v>690000</v>
      </c>
    </row>
    <row r="16" spans="2:6" x14ac:dyDescent="0.3">
      <c r="B16" t="str">
        <f t="shared" ref="B16:B17" si="0">+B9</f>
        <v>Klargørelse af tag</v>
      </c>
      <c r="C16" s="42">
        <f t="shared" ref="C16:C17" si="1">+C9*600/C$4</f>
        <v>90000</v>
      </c>
    </row>
    <row r="17" spans="2:6" x14ac:dyDescent="0.3">
      <c r="B17" t="str">
        <f t="shared" si="0"/>
        <v>Projektledelse + rådgivning</v>
      </c>
      <c r="C17" s="42">
        <f t="shared" si="1"/>
        <v>78000</v>
      </c>
      <c r="D17" s="43">
        <f>+C17/800</f>
        <v>97.5</v>
      </c>
      <c r="F17" t="s">
        <v>78</v>
      </c>
    </row>
    <row r="18" spans="2:6" x14ac:dyDescent="0.3">
      <c r="B18" t="s">
        <v>82</v>
      </c>
    </row>
    <row r="19" spans="2:6" x14ac:dyDescent="0.3">
      <c r="B19" t="s">
        <v>83</v>
      </c>
    </row>
    <row r="20" spans="2:6" x14ac:dyDescent="0.3">
      <c r="B20" t="s">
        <v>84</v>
      </c>
    </row>
    <row r="22" spans="2:6" x14ac:dyDescent="0.3">
      <c r="C22" s="44"/>
    </row>
    <row r="23" spans="2:6" x14ac:dyDescent="0.3">
      <c r="B23" t="s">
        <v>79</v>
      </c>
      <c r="C23">
        <v>679</v>
      </c>
      <c r="D2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F84"/>
  <sheetViews>
    <sheetView zoomScale="120" zoomScaleNormal="120" workbookViewId="0">
      <selection activeCell="E29" sqref="E29"/>
    </sheetView>
  </sheetViews>
  <sheetFormatPr defaultRowHeight="13.5" x14ac:dyDescent="0.3"/>
  <cols>
    <col min="1" max="1" width="4.921875" style="3" customWidth="1"/>
    <col min="2" max="2" width="37" style="3" customWidth="1"/>
    <col min="3" max="3" width="15.4609375" style="3" customWidth="1"/>
    <col min="4" max="4" width="9.921875" style="3" customWidth="1"/>
    <col min="5" max="5" width="13.921875" style="3" customWidth="1"/>
    <col min="6" max="6" width="17" style="3" bestFit="1" customWidth="1"/>
    <col min="7" max="7" width="12.53515625" style="3" bestFit="1" customWidth="1"/>
    <col min="8" max="8" width="12.61328125" style="3" bestFit="1" customWidth="1"/>
    <col min="9" max="9" width="11" style="3" bestFit="1" customWidth="1"/>
    <col min="10" max="10" width="12.15234375" style="3" bestFit="1" customWidth="1"/>
    <col min="11" max="11" width="14.84375" style="3" bestFit="1" customWidth="1"/>
    <col min="12" max="13" width="11" style="3" bestFit="1" customWidth="1"/>
    <col min="14" max="14" width="11.69140625" style="3" bestFit="1" customWidth="1"/>
    <col min="15" max="27" width="11" style="3" bestFit="1" customWidth="1"/>
    <col min="28" max="28" width="10.4609375" style="3" customWidth="1"/>
    <col min="29" max="16384" width="9.23046875" style="3"/>
  </cols>
  <sheetData>
    <row r="3" spans="2:6" ht="17.5" x14ac:dyDescent="0.35">
      <c r="B3" s="27" t="s">
        <v>53</v>
      </c>
    </row>
    <row r="4" spans="2:6" x14ac:dyDescent="0.3">
      <c r="B4" s="28" t="s">
        <v>54</v>
      </c>
    </row>
    <row r="5" spans="2:6" ht="17" x14ac:dyDescent="0.35">
      <c r="B5" s="2"/>
      <c r="F5" s="3">
        <v>800</v>
      </c>
    </row>
    <row r="6" spans="2:6" ht="15" x14ac:dyDescent="0.3">
      <c r="B6" s="18" t="s">
        <v>34</v>
      </c>
      <c r="E6" s="3" t="s">
        <v>68</v>
      </c>
      <c r="F6" s="17">
        <v>1120000</v>
      </c>
    </row>
    <row r="7" spans="2:6" x14ac:dyDescent="0.3">
      <c r="B7" s="1" t="s">
        <v>3</v>
      </c>
      <c r="C7" s="25">
        <v>600</v>
      </c>
      <c r="D7" s="1" t="s">
        <v>24</v>
      </c>
      <c r="E7" s="16">
        <f>+C7*F13</f>
        <v>0</v>
      </c>
      <c r="F7" s="17">
        <v>150000</v>
      </c>
    </row>
    <row r="8" spans="2:6" x14ac:dyDescent="0.3">
      <c r="B8" s="1" t="s">
        <v>35</v>
      </c>
      <c r="C8" s="25">
        <v>120</v>
      </c>
      <c r="D8" s="1" t="s">
        <v>39</v>
      </c>
      <c r="F8" s="16">
        <f>SUM(F6:F7)</f>
        <v>1270000</v>
      </c>
    </row>
    <row r="9" spans="2:6" x14ac:dyDescent="0.3">
      <c r="B9" s="1" t="s">
        <v>38</v>
      </c>
      <c r="C9" s="25">
        <v>950</v>
      </c>
      <c r="D9" s="1" t="s">
        <v>41</v>
      </c>
      <c r="F9" s="3">
        <f>+F8/F5</f>
        <v>1587.5</v>
      </c>
    </row>
    <row r="10" spans="2:6" x14ac:dyDescent="0.3">
      <c r="B10" s="1" t="s">
        <v>25</v>
      </c>
      <c r="C10" s="29">
        <f>C8*C9</f>
        <v>114000</v>
      </c>
      <c r="D10" s="1" t="s">
        <v>40</v>
      </c>
    </row>
    <row r="11" spans="2:6" x14ac:dyDescent="0.3">
      <c r="B11" s="1" t="s">
        <v>26</v>
      </c>
      <c r="C11" s="29">
        <v>980000</v>
      </c>
      <c r="D11" s="1" t="s">
        <v>28</v>
      </c>
      <c r="E11" s="3" t="s">
        <v>56</v>
      </c>
    </row>
    <row r="12" spans="2:6" x14ac:dyDescent="0.3">
      <c r="B12" s="1" t="s">
        <v>27</v>
      </c>
      <c r="C12" s="29">
        <f>70000+35000</f>
        <v>105000</v>
      </c>
      <c r="D12" s="1" t="s">
        <v>28</v>
      </c>
      <c r="E12" s="3" t="s">
        <v>55</v>
      </c>
    </row>
    <row r="13" spans="2:6" x14ac:dyDescent="0.3">
      <c r="B13" s="5" t="s">
        <v>49</v>
      </c>
      <c r="C13" s="6">
        <f>+C11+C12</f>
        <v>1085000</v>
      </c>
      <c r="D13" s="1" t="s">
        <v>28</v>
      </c>
      <c r="F13" s="16">
        <f>+E13/C13</f>
        <v>0</v>
      </c>
    </row>
    <row r="14" spans="2:6" x14ac:dyDescent="0.3">
      <c r="B14" s="7"/>
      <c r="C14" s="8"/>
      <c r="D14" s="9"/>
      <c r="E14" s="3">
        <f>+C13/C7</f>
        <v>1808.3333333333333</v>
      </c>
    </row>
    <row r="15" spans="2:6" x14ac:dyDescent="0.3">
      <c r="B15" s="10"/>
      <c r="D15" s="11"/>
    </row>
    <row r="16" spans="2:6" ht="15" x14ac:dyDescent="0.3">
      <c r="B16" s="18" t="s">
        <v>17</v>
      </c>
    </row>
    <row r="17" spans="2:6" x14ac:dyDescent="0.3">
      <c r="B17" s="1" t="s">
        <v>48</v>
      </c>
      <c r="C17" s="30">
        <f>66000</f>
        <v>66000</v>
      </c>
      <c r="D17" s="1" t="s">
        <v>28</v>
      </c>
      <c r="E17" s="3" t="s">
        <v>57</v>
      </c>
    </row>
    <row r="18" spans="2:6" x14ac:dyDescent="0.3">
      <c r="B18" s="1" t="s">
        <v>7</v>
      </c>
      <c r="C18" s="31">
        <v>0.7</v>
      </c>
      <c r="D18" s="1"/>
      <c r="E18" s="3" t="s">
        <v>58</v>
      </c>
    </row>
    <row r="19" spans="2:6" x14ac:dyDescent="0.3">
      <c r="B19" s="1" t="s">
        <v>14</v>
      </c>
      <c r="C19" s="4">
        <v>25</v>
      </c>
      <c r="D19" s="1" t="s">
        <v>13</v>
      </c>
      <c r="E19" s="3" t="s">
        <v>67</v>
      </c>
    </row>
    <row r="20" spans="2:6" x14ac:dyDescent="0.3">
      <c r="B20" s="1" t="s">
        <v>15</v>
      </c>
      <c r="C20" s="4">
        <v>1</v>
      </c>
      <c r="D20" s="1" t="s">
        <v>30</v>
      </c>
      <c r="E20" s="26"/>
    </row>
    <row r="21" spans="2:6" x14ac:dyDescent="0.3">
      <c r="B21" s="1" t="s">
        <v>69</v>
      </c>
      <c r="C21" s="20">
        <v>0.5</v>
      </c>
      <c r="D21" s="1" t="s">
        <v>5</v>
      </c>
      <c r="E21" s="3" t="s">
        <v>59</v>
      </c>
    </row>
    <row r="22" spans="2:6" x14ac:dyDescent="0.3">
      <c r="B22" s="1" t="s">
        <v>18</v>
      </c>
      <c r="C22" s="20">
        <f>0.25</f>
        <v>0.25</v>
      </c>
      <c r="D22" s="1" t="s">
        <v>5</v>
      </c>
      <c r="E22" s="3" t="s">
        <v>60</v>
      </c>
    </row>
    <row r="23" spans="2:6" x14ac:dyDescent="0.3">
      <c r="B23" s="1" t="s">
        <v>61</v>
      </c>
      <c r="C23" s="21">
        <v>0.24</v>
      </c>
      <c r="D23" s="1" t="s">
        <v>5</v>
      </c>
      <c r="E23" s="3" t="s">
        <v>62</v>
      </c>
    </row>
    <row r="24" spans="2:6" x14ac:dyDescent="0.3">
      <c r="B24" s="19" t="s">
        <v>36</v>
      </c>
      <c r="C24" s="23">
        <v>9.35E-2</v>
      </c>
      <c r="D24" s="19" t="s">
        <v>5</v>
      </c>
      <c r="E24" s="3" t="s">
        <v>63</v>
      </c>
      <c r="F24" s="22"/>
    </row>
    <row r="25" spans="2:6" x14ac:dyDescent="0.3">
      <c r="B25" s="33" t="s">
        <v>50</v>
      </c>
      <c r="C25" s="20">
        <v>0.04</v>
      </c>
      <c r="D25" s="19" t="s">
        <v>5</v>
      </c>
      <c r="F25" s="22"/>
    </row>
    <row r="26" spans="2:6" x14ac:dyDescent="0.3">
      <c r="B26" s="33" t="s">
        <v>51</v>
      </c>
      <c r="C26" s="20">
        <v>0</v>
      </c>
      <c r="D26" s="19"/>
      <c r="E26" s="3" t="s">
        <v>66</v>
      </c>
      <c r="F26" s="22"/>
    </row>
    <row r="27" spans="2:6" x14ac:dyDescent="0.3">
      <c r="B27" s="1" t="s">
        <v>19</v>
      </c>
      <c r="C27" s="12">
        <v>0.03</v>
      </c>
      <c r="D27" s="1"/>
    </row>
    <row r="28" spans="2:6" x14ac:dyDescent="0.3">
      <c r="B28" s="1" t="s">
        <v>37</v>
      </c>
      <c r="C28" s="12">
        <v>0.03</v>
      </c>
      <c r="D28" s="1"/>
    </row>
    <row r="29" spans="2:6" x14ac:dyDescent="0.3">
      <c r="B29" s="1" t="s">
        <v>20</v>
      </c>
      <c r="C29" s="12">
        <v>0.02</v>
      </c>
      <c r="D29" s="1"/>
    </row>
    <row r="31" spans="2:6" ht="15" x14ac:dyDescent="0.3">
      <c r="B31" s="18" t="s">
        <v>52</v>
      </c>
    </row>
    <row r="32" spans="2:6" x14ac:dyDescent="0.3">
      <c r="B32" s="1" t="s">
        <v>10</v>
      </c>
      <c r="C32" s="30">
        <f>500</f>
        <v>500</v>
      </c>
      <c r="D32" s="1" t="s">
        <v>4</v>
      </c>
    </row>
    <row r="33" spans="2:32" x14ac:dyDescent="0.3">
      <c r="B33" s="1" t="s">
        <v>11</v>
      </c>
      <c r="C33" s="30">
        <f>2000</f>
        <v>2000</v>
      </c>
      <c r="D33" s="1" t="s">
        <v>4</v>
      </c>
      <c r="E33" s="3" t="s">
        <v>64</v>
      </c>
    </row>
    <row r="34" spans="2:32" ht="28.5" customHeight="1" x14ac:dyDescent="0.3">
      <c r="B34" s="32" t="s">
        <v>47</v>
      </c>
      <c r="C34" s="29">
        <v>10000</v>
      </c>
      <c r="D34" s="1" t="s">
        <v>4</v>
      </c>
      <c r="E34" s="3" t="s">
        <v>65</v>
      </c>
    </row>
    <row r="35" spans="2:32" x14ac:dyDescent="0.3">
      <c r="B35" s="1" t="s">
        <v>6</v>
      </c>
      <c r="C35" s="4">
        <f>+C32+C33+C34</f>
        <v>12500</v>
      </c>
      <c r="D35" s="1" t="s">
        <v>4</v>
      </c>
    </row>
    <row r="36" spans="2:32" x14ac:dyDescent="0.3">
      <c r="B36" s="10"/>
      <c r="C36" s="13"/>
      <c r="D36" s="10"/>
    </row>
    <row r="38" spans="2:32" ht="15" x14ac:dyDescent="0.3">
      <c r="B38" s="18" t="s">
        <v>29</v>
      </c>
    </row>
    <row r="39" spans="2:32" x14ac:dyDescent="0.3">
      <c r="B39" s="1" t="s">
        <v>16</v>
      </c>
      <c r="C39" s="14">
        <f>NPV(C28,C57:AA57)</f>
        <v>-137803.95135188289</v>
      </c>
      <c r="D39" s="1" t="s">
        <v>28</v>
      </c>
      <c r="F39" s="16">
        <f>+C39*F13</f>
        <v>0</v>
      </c>
    </row>
    <row r="40" spans="2:32" x14ac:dyDescent="0.3">
      <c r="B40" s="19" t="s">
        <v>42</v>
      </c>
      <c r="C40" s="24">
        <f>NPV(C28,C59:AA59)</f>
        <v>-16724.350294723135</v>
      </c>
      <c r="D40" s="1" t="s">
        <v>28</v>
      </c>
    </row>
    <row r="41" spans="2:32" x14ac:dyDescent="0.3">
      <c r="B41" s="1" t="s">
        <v>12</v>
      </c>
      <c r="C41" s="14">
        <f>+C39/25</f>
        <v>-5512.1580540753157</v>
      </c>
      <c r="D41" s="1" t="s">
        <v>28</v>
      </c>
    </row>
    <row r="42" spans="2:32" x14ac:dyDescent="0.3">
      <c r="C42" s="15"/>
    </row>
    <row r="43" spans="2:32" x14ac:dyDescent="0.3">
      <c r="C43" s="15"/>
    </row>
    <row r="44" spans="2:32" ht="15" x14ac:dyDescent="0.3">
      <c r="B44" s="18" t="s">
        <v>2</v>
      </c>
    </row>
    <row r="45" spans="2:32" x14ac:dyDescent="0.3">
      <c r="B45" s="1" t="s">
        <v>13</v>
      </c>
      <c r="C45" s="1">
        <v>1</v>
      </c>
      <c r="D45" s="1">
        <v>2</v>
      </c>
      <c r="E45" s="1">
        <v>3</v>
      </c>
      <c r="F45" s="1">
        <v>4</v>
      </c>
      <c r="G45" s="1">
        <v>5</v>
      </c>
      <c r="H45" s="1">
        <v>6</v>
      </c>
      <c r="I45" s="1">
        <v>7</v>
      </c>
      <c r="J45" s="1">
        <v>8</v>
      </c>
      <c r="K45" s="1">
        <v>9</v>
      </c>
      <c r="L45" s="1">
        <v>10</v>
      </c>
      <c r="M45" s="1">
        <v>11</v>
      </c>
      <c r="N45" s="1">
        <v>12</v>
      </c>
      <c r="O45" s="1">
        <v>13</v>
      </c>
      <c r="P45" s="1">
        <v>14</v>
      </c>
      <c r="Q45" s="1">
        <v>15</v>
      </c>
      <c r="R45" s="1">
        <v>16</v>
      </c>
      <c r="S45" s="1">
        <v>17</v>
      </c>
      <c r="T45" s="1">
        <v>18</v>
      </c>
      <c r="U45" s="1">
        <v>19</v>
      </c>
      <c r="V45" s="1">
        <v>20</v>
      </c>
      <c r="W45" s="1">
        <v>21</v>
      </c>
      <c r="X45" s="1">
        <v>22</v>
      </c>
      <c r="Y45" s="1">
        <v>23</v>
      </c>
      <c r="Z45" s="1">
        <v>24</v>
      </c>
      <c r="AA45" s="1">
        <v>25</v>
      </c>
      <c r="AB45" s="1">
        <v>26</v>
      </c>
      <c r="AC45" s="1">
        <v>27</v>
      </c>
      <c r="AD45" s="1">
        <v>28</v>
      </c>
      <c r="AE45" s="1">
        <v>29</v>
      </c>
      <c r="AF45" s="1">
        <v>30</v>
      </c>
    </row>
    <row r="46" spans="2:32" x14ac:dyDescent="0.3">
      <c r="B46" s="5" t="s">
        <v>21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32" x14ac:dyDescent="0.3">
      <c r="B47" s="1" t="s">
        <v>8</v>
      </c>
      <c r="C47" s="4">
        <f>$C$10*($C$21+$C$23-$C$24)*$C$18</f>
        <v>51590.7</v>
      </c>
      <c r="D47" s="4">
        <f>C47*(1+$C$27)</f>
        <v>53138.420999999995</v>
      </c>
      <c r="E47" s="4">
        <f t="shared" ref="E47:Z47" si="0">D47*(1+$C$27)</f>
        <v>54732.573629999999</v>
      </c>
      <c r="F47" s="4">
        <f t="shared" si="0"/>
        <v>56374.550838900002</v>
      </c>
      <c r="G47" s="4">
        <f t="shared" si="0"/>
        <v>58065.787364067</v>
      </c>
      <c r="H47" s="4">
        <f t="shared" si="0"/>
        <v>59807.760984989014</v>
      </c>
      <c r="I47" s="4">
        <f t="shared" si="0"/>
        <v>61601.993814538684</v>
      </c>
      <c r="J47" s="4">
        <f t="shared" si="0"/>
        <v>63450.053628974849</v>
      </c>
      <c r="K47" s="4">
        <f t="shared" si="0"/>
        <v>65353.555237844099</v>
      </c>
      <c r="L47" s="4">
        <f t="shared" si="0"/>
        <v>67314.161894979421</v>
      </c>
      <c r="M47" s="4">
        <f t="shared" si="0"/>
        <v>69333.5867518288</v>
      </c>
      <c r="N47" s="4">
        <f t="shared" si="0"/>
        <v>71413.594354383662</v>
      </c>
      <c r="O47" s="4">
        <f t="shared" si="0"/>
        <v>73556.002185015168</v>
      </c>
      <c r="P47" s="4">
        <f t="shared" si="0"/>
        <v>75762.682250565631</v>
      </c>
      <c r="Q47" s="4">
        <f t="shared" si="0"/>
        <v>78035.562718082598</v>
      </c>
      <c r="R47" s="4">
        <f t="shared" si="0"/>
        <v>80376.629599625085</v>
      </c>
      <c r="S47" s="4">
        <f t="shared" si="0"/>
        <v>82787.928487613841</v>
      </c>
      <c r="T47" s="4">
        <f t="shared" si="0"/>
        <v>85271.566342242251</v>
      </c>
      <c r="U47" s="4">
        <f t="shared" si="0"/>
        <v>87829.71333250952</v>
      </c>
      <c r="V47" s="4">
        <f t="shared" si="0"/>
        <v>90464.604732484804</v>
      </c>
      <c r="W47" s="4">
        <f t="shared" si="0"/>
        <v>93178.542874459352</v>
      </c>
      <c r="X47" s="4">
        <f t="shared" si="0"/>
        <v>95973.899160693138</v>
      </c>
      <c r="Y47" s="4">
        <f t="shared" si="0"/>
        <v>98853.116135513934</v>
      </c>
      <c r="Z47" s="4">
        <f t="shared" si="0"/>
        <v>101818.70961957936</v>
      </c>
      <c r="AA47" s="4">
        <f>Z47*(1+$C$27)</f>
        <v>104873.27090816674</v>
      </c>
      <c r="AB47" s="4">
        <f t="shared" ref="AB47:AF47" si="1">AA47*(1+$C$27)</f>
        <v>108019.46903541175</v>
      </c>
      <c r="AC47" s="4">
        <f t="shared" si="1"/>
        <v>111260.05310647411</v>
      </c>
      <c r="AD47" s="4">
        <f t="shared" si="1"/>
        <v>114597.85469966833</v>
      </c>
      <c r="AE47" s="4">
        <f t="shared" si="1"/>
        <v>118035.79034065838</v>
      </c>
      <c r="AF47" s="4">
        <f t="shared" si="1"/>
        <v>121576.86405087814</v>
      </c>
    </row>
    <row r="48" spans="2:32" x14ac:dyDescent="0.3">
      <c r="B48" s="1" t="s">
        <v>9</v>
      </c>
      <c r="C48" s="4">
        <f>$C$10*($C$22-$C$25)*(1-$C$18)</f>
        <v>7182.0000000000009</v>
      </c>
      <c r="D48" s="4">
        <f>C48*(1+$C$27)</f>
        <v>7397.4600000000009</v>
      </c>
      <c r="E48" s="4">
        <f t="shared" ref="E48:Z48" si="2">D48*(1+$C$27)</f>
        <v>7619.3838000000014</v>
      </c>
      <c r="F48" s="4">
        <f t="shared" si="2"/>
        <v>7847.9653140000019</v>
      </c>
      <c r="G48" s="4">
        <f t="shared" si="2"/>
        <v>8083.404273420002</v>
      </c>
      <c r="H48" s="4">
        <f t="shared" si="2"/>
        <v>8325.9064016226021</v>
      </c>
      <c r="I48" s="4">
        <f t="shared" si="2"/>
        <v>8575.6835936712796</v>
      </c>
      <c r="J48" s="4">
        <f t="shared" si="2"/>
        <v>8832.9541014814185</v>
      </c>
      <c r="K48" s="4">
        <f t="shared" si="2"/>
        <v>9097.9427245258612</v>
      </c>
      <c r="L48" s="4">
        <f t="shared" si="2"/>
        <v>9370.8810062616376</v>
      </c>
      <c r="M48" s="4">
        <f t="shared" si="2"/>
        <v>9652.0074364494867</v>
      </c>
      <c r="N48" s="4">
        <f t="shared" si="2"/>
        <v>9941.5676595429723</v>
      </c>
      <c r="O48" s="4">
        <f t="shared" si="2"/>
        <v>10239.814689329261</v>
      </c>
      <c r="P48" s="4">
        <f t="shared" si="2"/>
        <v>10547.009130009139</v>
      </c>
      <c r="Q48" s="4">
        <f t="shared" si="2"/>
        <v>10863.419403909413</v>
      </c>
      <c r="R48" s="4">
        <f t="shared" si="2"/>
        <v>11189.321986026695</v>
      </c>
      <c r="S48" s="4">
        <f t="shared" si="2"/>
        <v>11525.001645607495</v>
      </c>
      <c r="T48" s="4">
        <f t="shared" si="2"/>
        <v>11870.751694975721</v>
      </c>
      <c r="U48" s="4">
        <f t="shared" si="2"/>
        <v>12226.874245824993</v>
      </c>
      <c r="V48" s="4">
        <f t="shared" si="2"/>
        <v>12593.680473199744</v>
      </c>
      <c r="W48" s="4">
        <f t="shared" si="2"/>
        <v>12971.490887395736</v>
      </c>
      <c r="X48" s="4">
        <f t="shared" si="2"/>
        <v>13360.635614017609</v>
      </c>
      <c r="Y48" s="4">
        <f t="shared" si="2"/>
        <v>13761.454682438138</v>
      </c>
      <c r="Z48" s="4">
        <f t="shared" si="2"/>
        <v>14174.298322911282</v>
      </c>
      <c r="AA48" s="4">
        <f>Z48*(1+$C$27)</f>
        <v>14599.52727259862</v>
      </c>
      <c r="AB48" s="4">
        <f t="shared" ref="AB48:AF48" si="3">AA48*(1+$C$27)</f>
        <v>15037.513090776578</v>
      </c>
      <c r="AC48" s="4">
        <f t="shared" si="3"/>
        <v>15488.638483499875</v>
      </c>
      <c r="AD48" s="4">
        <f t="shared" si="3"/>
        <v>15953.297638004871</v>
      </c>
      <c r="AE48" s="4">
        <f t="shared" si="3"/>
        <v>16431.896567145017</v>
      </c>
      <c r="AF48" s="4">
        <f t="shared" si="3"/>
        <v>16924.853464159369</v>
      </c>
    </row>
    <row r="49" spans="2:32" x14ac:dyDescent="0.3">
      <c r="B49" s="10" t="s">
        <v>31</v>
      </c>
      <c r="C49" s="16">
        <f>+C48+C47</f>
        <v>58772.7</v>
      </c>
      <c r="D49" s="16">
        <f t="shared" ref="D49:Z49" si="4">+D48+D47</f>
        <v>60535.880999999994</v>
      </c>
      <c r="E49" s="16">
        <f t="shared" si="4"/>
        <v>62351.957430000002</v>
      </c>
      <c r="F49" s="16">
        <f t="shared" si="4"/>
        <v>64222.516152900003</v>
      </c>
      <c r="G49" s="16">
        <f t="shared" si="4"/>
        <v>66149.191637487005</v>
      </c>
      <c r="H49" s="16">
        <f t="shared" si="4"/>
        <v>68133.667386611618</v>
      </c>
      <c r="I49" s="16">
        <f t="shared" si="4"/>
        <v>70177.677408209958</v>
      </c>
      <c r="J49" s="16">
        <f t="shared" si="4"/>
        <v>72283.007730456273</v>
      </c>
      <c r="K49" s="16">
        <f t="shared" si="4"/>
        <v>74451.497962369962</v>
      </c>
      <c r="L49" s="16">
        <f t="shared" si="4"/>
        <v>76685.04290124106</v>
      </c>
      <c r="M49" s="16">
        <f t="shared" si="4"/>
        <v>78985.594188278279</v>
      </c>
      <c r="N49" s="16">
        <f t="shared" si="4"/>
        <v>81355.162013926631</v>
      </c>
      <c r="O49" s="16">
        <f t="shared" si="4"/>
        <v>83795.816874344426</v>
      </c>
      <c r="P49" s="16">
        <f t="shared" si="4"/>
        <v>86309.691380574775</v>
      </c>
      <c r="Q49" s="16">
        <f t="shared" si="4"/>
        <v>88898.982121992012</v>
      </c>
      <c r="R49" s="16">
        <f t="shared" si="4"/>
        <v>91565.951585651783</v>
      </c>
      <c r="S49" s="16">
        <f t="shared" si="4"/>
        <v>94312.930133221336</v>
      </c>
      <c r="T49" s="16">
        <f t="shared" si="4"/>
        <v>97142.318037217978</v>
      </c>
      <c r="U49" s="16">
        <f t="shared" si="4"/>
        <v>100056.58757833451</v>
      </c>
      <c r="V49" s="16">
        <f t="shared" si="4"/>
        <v>103058.28520568454</v>
      </c>
      <c r="W49" s="16">
        <f t="shared" si="4"/>
        <v>106150.03376185508</v>
      </c>
      <c r="X49" s="16">
        <f t="shared" si="4"/>
        <v>109334.53477471074</v>
      </c>
      <c r="Y49" s="16">
        <f t="shared" si="4"/>
        <v>112614.57081795207</v>
      </c>
      <c r="Z49" s="16">
        <f t="shared" si="4"/>
        <v>115993.00794249064</v>
      </c>
      <c r="AA49" s="16">
        <f>+AA48+AA47</f>
        <v>119472.79818076536</v>
      </c>
      <c r="AB49" s="16">
        <f t="shared" ref="AB49:AF49" si="5">+AB48+AB47</f>
        <v>123056.98212618832</v>
      </c>
      <c r="AC49" s="16">
        <f t="shared" si="5"/>
        <v>126748.69158997398</v>
      </c>
      <c r="AD49" s="16">
        <f t="shared" si="5"/>
        <v>130551.15233767321</v>
      </c>
      <c r="AE49" s="16">
        <f t="shared" si="5"/>
        <v>134467.68690780341</v>
      </c>
      <c r="AF49" s="16">
        <f t="shared" si="5"/>
        <v>138501.71751503751</v>
      </c>
    </row>
    <row r="50" spans="2:32" x14ac:dyDescent="0.3">
      <c r="B50" s="5" t="s">
        <v>22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2:32" x14ac:dyDescent="0.3">
      <c r="B51" s="1" t="s"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>
        <f>-C17*(1+C29)^O45</f>
        <v>-85378.037609950537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2:32" x14ac:dyDescent="0.3">
      <c r="B52" s="1" t="s">
        <v>23</v>
      </c>
      <c r="C52" s="4">
        <f>-$C$35</f>
        <v>-12500</v>
      </c>
      <c r="D52" s="4">
        <f t="shared" ref="D52:Z52" si="6">+C52*(1+$C$29)</f>
        <v>-12750</v>
      </c>
      <c r="E52" s="4">
        <f t="shared" si="6"/>
        <v>-13005</v>
      </c>
      <c r="F52" s="4">
        <f t="shared" si="6"/>
        <v>-13265.1</v>
      </c>
      <c r="G52" s="4">
        <f t="shared" si="6"/>
        <v>-13530.402</v>
      </c>
      <c r="H52" s="4">
        <f t="shared" si="6"/>
        <v>-13801.010040000001</v>
      </c>
      <c r="I52" s="4">
        <f t="shared" si="6"/>
        <v>-14077.030240800001</v>
      </c>
      <c r="J52" s="4">
        <f t="shared" si="6"/>
        <v>-14358.570845616001</v>
      </c>
      <c r="K52" s="4">
        <f t="shared" si="6"/>
        <v>-14645.742262528322</v>
      </c>
      <c r="L52" s="4">
        <f t="shared" si="6"/>
        <v>-14938.657107778889</v>
      </c>
      <c r="M52" s="4">
        <f t="shared" si="6"/>
        <v>-15237.430249934467</v>
      </c>
      <c r="N52" s="4">
        <f t="shared" si="6"/>
        <v>-15542.178854933156</v>
      </c>
      <c r="O52" s="4">
        <f t="shared" si="6"/>
        <v>-15853.022432031819</v>
      </c>
      <c r="P52" s="4">
        <f t="shared" si="6"/>
        <v>-16170.082880672457</v>
      </c>
      <c r="Q52" s="4">
        <f t="shared" si="6"/>
        <v>-16493.484538285906</v>
      </c>
      <c r="R52" s="4">
        <f t="shared" si="6"/>
        <v>-16823.354229051623</v>
      </c>
      <c r="S52" s="4">
        <f t="shared" si="6"/>
        <v>-17159.821313632656</v>
      </c>
      <c r="T52" s="4">
        <f t="shared" si="6"/>
        <v>-17503.01773990531</v>
      </c>
      <c r="U52" s="4">
        <f t="shared" si="6"/>
        <v>-17853.078094703418</v>
      </c>
      <c r="V52" s="4">
        <f t="shared" si="6"/>
        <v>-18210.139656597486</v>
      </c>
      <c r="W52" s="4">
        <f t="shared" si="6"/>
        <v>-18574.342449729436</v>
      </c>
      <c r="X52" s="4">
        <f t="shared" si="6"/>
        <v>-18945.829298724024</v>
      </c>
      <c r="Y52" s="4">
        <f t="shared" si="6"/>
        <v>-19324.745884698506</v>
      </c>
      <c r="Z52" s="4">
        <f t="shared" si="6"/>
        <v>-19711.240802392476</v>
      </c>
      <c r="AA52" s="4">
        <f>+Z52*(1+$C$29)</f>
        <v>-20105.465618440325</v>
      </c>
      <c r="AB52" s="4">
        <f t="shared" ref="AB52:AF52" si="7">+AA52*(1+$C$29)</f>
        <v>-20507.574930809133</v>
      </c>
      <c r="AC52" s="4">
        <f t="shared" si="7"/>
        <v>-20917.726429425315</v>
      </c>
      <c r="AD52" s="4">
        <f t="shared" si="7"/>
        <v>-21336.080958013823</v>
      </c>
      <c r="AE52" s="4">
        <f t="shared" si="7"/>
        <v>-21762.802577174101</v>
      </c>
      <c r="AF52" s="4">
        <f t="shared" si="7"/>
        <v>-22198.058628717583</v>
      </c>
    </row>
    <row r="53" spans="2:32" x14ac:dyDescent="0.3">
      <c r="B53" s="1" t="s">
        <v>1</v>
      </c>
      <c r="C53" s="4"/>
      <c r="D53" s="4">
        <f>+(D47+D48)*D58%*-1</f>
        <v>-532.71575280000002</v>
      </c>
      <c r="E53" s="4">
        <f t="shared" ref="E53:AA53" si="8">+(E47+E48)*E58%*-1</f>
        <v>-1097.3944507680001</v>
      </c>
      <c r="F53" s="4">
        <f t="shared" si="8"/>
        <v>-1695.4744264365602</v>
      </c>
      <c r="G53" s="4">
        <f t="shared" si="8"/>
        <v>-2328.4515456395429</v>
      </c>
      <c r="H53" s="4">
        <f t="shared" si="8"/>
        <v>-2997.8813650109114</v>
      </c>
      <c r="I53" s="4">
        <f t="shared" si="8"/>
        <v>-3705.3813671534858</v>
      </c>
      <c r="J53" s="4">
        <f t="shared" si="8"/>
        <v>-4452.6332761961066</v>
      </c>
      <c r="K53" s="4">
        <f t="shared" si="8"/>
        <v>-5241.3854565508454</v>
      </c>
      <c r="L53" s="4">
        <f t="shared" si="8"/>
        <v>-6073.4553977782916</v>
      </c>
      <c r="M53" s="4">
        <f t="shared" si="8"/>
        <v>-6950.7322885684889</v>
      </c>
      <c r="N53" s="4">
        <f t="shared" si="8"/>
        <v>-7875.1796829480991</v>
      </c>
      <c r="O53" s="4">
        <f t="shared" si="8"/>
        <v>-8848.838261930774</v>
      </c>
      <c r="P53" s="4">
        <f t="shared" si="8"/>
        <v>-9873.8286939377576</v>
      </c>
      <c r="Q53" s="4">
        <f t="shared" si="8"/>
        <v>-10952.354597429419</v>
      </c>
      <c r="R53" s="4">
        <f t="shared" si="8"/>
        <v>-12086.705609306038</v>
      </c>
      <c r="S53" s="4">
        <f t="shared" si="8"/>
        <v>-13279.26056275757</v>
      </c>
      <c r="T53" s="4">
        <f t="shared" si="8"/>
        <v>-14532.490778367815</v>
      </c>
      <c r="U53" s="4">
        <f t="shared" si="8"/>
        <v>-15848.963472408193</v>
      </c>
      <c r="V53" s="4">
        <f t="shared" si="8"/>
        <v>-17231.345286390464</v>
      </c>
      <c r="W53" s="4">
        <f t="shared" si="8"/>
        <v>-18682.405942086498</v>
      </c>
      <c r="X53" s="4">
        <f t="shared" si="8"/>
        <v>-20205.022026366551</v>
      </c>
      <c r="Y53" s="4">
        <f t="shared" si="8"/>
        <v>-21802.180910355524</v>
      </c>
      <c r="Z53" s="4">
        <f t="shared" si="8"/>
        <v>-23476.984807560108</v>
      </c>
      <c r="AA53" s="4">
        <f t="shared" si="8"/>
        <v>-25232.654975777645</v>
      </c>
      <c r="AB53" s="4">
        <f t="shared" ref="AB53:AF53" si="9">+(AB47+AB48)*AB58%*-1</f>
        <v>-27072.53606776143</v>
      </c>
      <c r="AC53" s="4">
        <f t="shared" si="9"/>
        <v>-29000.100635786046</v>
      </c>
      <c r="AD53" s="4">
        <f t="shared" si="9"/>
        <v>-31018.953795431153</v>
      </c>
      <c r="AE53" s="4">
        <f t="shared" si="9"/>
        <v>-33132.838054082757</v>
      </c>
      <c r="AF53" s="4">
        <f t="shared" si="9"/>
        <v>-35345.638309837574</v>
      </c>
    </row>
    <row r="54" spans="2:32" x14ac:dyDescent="0.3">
      <c r="B54" s="1" t="s">
        <v>43</v>
      </c>
      <c r="C54" s="4">
        <f t="shared" ref="C54:AF54" si="10">PMT($C$28,25,$C$13)</f>
        <v>-62309.240077453651</v>
      </c>
      <c r="D54" s="4">
        <f t="shared" si="10"/>
        <v>-62309.240077453651</v>
      </c>
      <c r="E54" s="4">
        <f t="shared" si="10"/>
        <v>-62309.240077453651</v>
      </c>
      <c r="F54" s="4">
        <f t="shared" si="10"/>
        <v>-62309.240077453651</v>
      </c>
      <c r="G54" s="4">
        <f t="shared" si="10"/>
        <v>-62309.240077453651</v>
      </c>
      <c r="H54" s="4">
        <f t="shared" si="10"/>
        <v>-62309.240077453651</v>
      </c>
      <c r="I54" s="4">
        <f t="shared" si="10"/>
        <v>-62309.240077453651</v>
      </c>
      <c r="J54" s="4">
        <f t="shared" si="10"/>
        <v>-62309.240077453651</v>
      </c>
      <c r="K54" s="4">
        <f t="shared" si="10"/>
        <v>-62309.240077453651</v>
      </c>
      <c r="L54" s="4">
        <f t="shared" si="10"/>
        <v>-62309.240077453651</v>
      </c>
      <c r="M54" s="4">
        <f t="shared" si="10"/>
        <v>-62309.240077453651</v>
      </c>
      <c r="N54" s="4">
        <f t="shared" si="10"/>
        <v>-62309.240077453651</v>
      </c>
      <c r="O54" s="4">
        <f t="shared" si="10"/>
        <v>-62309.240077453651</v>
      </c>
      <c r="P54" s="4">
        <f t="shared" si="10"/>
        <v>-62309.240077453651</v>
      </c>
      <c r="Q54" s="4">
        <f t="shared" si="10"/>
        <v>-62309.240077453651</v>
      </c>
      <c r="R54" s="4">
        <f t="shared" si="10"/>
        <v>-62309.240077453651</v>
      </c>
      <c r="S54" s="4">
        <f t="shared" si="10"/>
        <v>-62309.240077453651</v>
      </c>
      <c r="T54" s="4">
        <f t="shared" si="10"/>
        <v>-62309.240077453651</v>
      </c>
      <c r="U54" s="4">
        <f t="shared" si="10"/>
        <v>-62309.240077453651</v>
      </c>
      <c r="V54" s="4">
        <f t="shared" si="10"/>
        <v>-62309.240077453651</v>
      </c>
      <c r="W54" s="4">
        <f t="shared" si="10"/>
        <v>-62309.240077453651</v>
      </c>
      <c r="X54" s="4">
        <f t="shared" si="10"/>
        <v>-62309.240077453651</v>
      </c>
      <c r="Y54" s="4">
        <f t="shared" si="10"/>
        <v>-62309.240077453651</v>
      </c>
      <c r="Z54" s="4">
        <f t="shared" si="10"/>
        <v>-62309.240077453651</v>
      </c>
      <c r="AA54" s="4">
        <f t="shared" si="10"/>
        <v>-62309.240077453651</v>
      </c>
      <c r="AB54" s="4">
        <f t="shared" si="10"/>
        <v>-62309.240077453651</v>
      </c>
      <c r="AC54" s="4">
        <f t="shared" si="10"/>
        <v>-62309.240077453651</v>
      </c>
      <c r="AD54" s="4">
        <f t="shared" si="10"/>
        <v>-62309.240077453651</v>
      </c>
      <c r="AE54" s="4">
        <f t="shared" si="10"/>
        <v>-62309.240077453651</v>
      </c>
      <c r="AF54" s="4">
        <f t="shared" si="10"/>
        <v>-62309.240077453651</v>
      </c>
    </row>
    <row r="55" spans="2:32" x14ac:dyDescent="0.3">
      <c r="B55" s="1" t="s">
        <v>44</v>
      </c>
      <c r="C55" s="4">
        <f t="shared" ref="C55:AF55" si="11">PMT($C$28,30,$C$13)</f>
        <v>-55355.896362474035</v>
      </c>
      <c r="D55" s="4">
        <f t="shared" si="11"/>
        <v>-55355.896362474035</v>
      </c>
      <c r="E55" s="4">
        <f t="shared" si="11"/>
        <v>-55355.896362474035</v>
      </c>
      <c r="F55" s="4">
        <f t="shared" si="11"/>
        <v>-55355.896362474035</v>
      </c>
      <c r="G55" s="4">
        <f t="shared" si="11"/>
        <v>-55355.896362474035</v>
      </c>
      <c r="H55" s="4">
        <f t="shared" si="11"/>
        <v>-55355.896362474035</v>
      </c>
      <c r="I55" s="4">
        <f t="shared" si="11"/>
        <v>-55355.896362474035</v>
      </c>
      <c r="J55" s="4">
        <f t="shared" si="11"/>
        <v>-55355.896362474035</v>
      </c>
      <c r="K55" s="4">
        <f t="shared" si="11"/>
        <v>-55355.896362474035</v>
      </c>
      <c r="L55" s="4">
        <f t="shared" si="11"/>
        <v>-55355.896362474035</v>
      </c>
      <c r="M55" s="4">
        <f t="shared" si="11"/>
        <v>-55355.896362474035</v>
      </c>
      <c r="N55" s="4">
        <f t="shared" si="11"/>
        <v>-55355.896362474035</v>
      </c>
      <c r="O55" s="4">
        <f t="shared" si="11"/>
        <v>-55355.896362474035</v>
      </c>
      <c r="P55" s="4">
        <f t="shared" si="11"/>
        <v>-55355.896362474035</v>
      </c>
      <c r="Q55" s="4">
        <f t="shared" si="11"/>
        <v>-55355.896362474035</v>
      </c>
      <c r="R55" s="4">
        <f t="shared" si="11"/>
        <v>-55355.896362474035</v>
      </c>
      <c r="S55" s="4">
        <f t="shared" si="11"/>
        <v>-55355.896362474035</v>
      </c>
      <c r="T55" s="4">
        <f t="shared" si="11"/>
        <v>-55355.896362474035</v>
      </c>
      <c r="U55" s="4">
        <f t="shared" si="11"/>
        <v>-55355.896362474035</v>
      </c>
      <c r="V55" s="4">
        <f t="shared" si="11"/>
        <v>-55355.896362474035</v>
      </c>
      <c r="W55" s="4">
        <f t="shared" si="11"/>
        <v>-55355.896362474035</v>
      </c>
      <c r="X55" s="4">
        <f t="shared" si="11"/>
        <v>-55355.896362474035</v>
      </c>
      <c r="Y55" s="4">
        <f t="shared" si="11"/>
        <v>-55355.896362474035</v>
      </c>
      <c r="Z55" s="4">
        <f t="shared" si="11"/>
        <v>-55355.896362474035</v>
      </c>
      <c r="AA55" s="4">
        <f t="shared" si="11"/>
        <v>-55355.896362474035</v>
      </c>
      <c r="AB55" s="4">
        <f t="shared" si="11"/>
        <v>-55355.896362474035</v>
      </c>
      <c r="AC55" s="4">
        <f t="shared" si="11"/>
        <v>-55355.896362474035</v>
      </c>
      <c r="AD55" s="4">
        <f t="shared" si="11"/>
        <v>-55355.896362474035</v>
      </c>
      <c r="AE55" s="4">
        <f t="shared" si="11"/>
        <v>-55355.896362474035</v>
      </c>
      <c r="AF55" s="4">
        <f t="shared" si="11"/>
        <v>-55355.896362474035</v>
      </c>
    </row>
    <row r="56" spans="2:32" x14ac:dyDescent="0.3">
      <c r="B56" s="1" t="s">
        <v>32</v>
      </c>
      <c r="C56" s="4">
        <f>+C54+C53+C52+C51</f>
        <v>-74809.240077453651</v>
      </c>
      <c r="D56" s="4">
        <f t="shared" ref="D56:AA56" si="12">+D54+D53+D52+D51</f>
        <v>-75591.955830253661</v>
      </c>
      <c r="E56" s="4">
        <f t="shared" si="12"/>
        <v>-76411.63452822165</v>
      </c>
      <c r="F56" s="4">
        <f t="shared" si="12"/>
        <v>-77269.814503890215</v>
      </c>
      <c r="G56" s="4">
        <f t="shared" si="12"/>
        <v>-78168.093623093198</v>
      </c>
      <c r="H56" s="4">
        <f t="shared" si="12"/>
        <v>-79108.131482464552</v>
      </c>
      <c r="I56" s="4">
        <f t="shared" si="12"/>
        <v>-80091.651685407138</v>
      </c>
      <c r="J56" s="4">
        <f t="shared" si="12"/>
        <v>-81120.444199265767</v>
      </c>
      <c r="K56" s="4">
        <f t="shared" si="12"/>
        <v>-82196.367796532824</v>
      </c>
      <c r="L56" s="4">
        <f t="shared" si="12"/>
        <v>-83321.352583010826</v>
      </c>
      <c r="M56" s="4">
        <f t="shared" si="12"/>
        <v>-84497.402615956598</v>
      </c>
      <c r="N56" s="4">
        <f t="shared" si="12"/>
        <v>-85726.598615334908</v>
      </c>
      <c r="O56" s="4">
        <f t="shared" si="12"/>
        <v>-172389.13838136679</v>
      </c>
      <c r="P56" s="4">
        <f t="shared" si="12"/>
        <v>-88353.151652063869</v>
      </c>
      <c r="Q56" s="4">
        <f t="shared" si="12"/>
        <v>-89755.079213168981</v>
      </c>
      <c r="R56" s="4">
        <f t="shared" si="12"/>
        <v>-91219.299915811309</v>
      </c>
      <c r="S56" s="4">
        <f t="shared" si="12"/>
        <v>-92748.321953843872</v>
      </c>
      <c r="T56" s="4">
        <f t="shared" si="12"/>
        <v>-94344.748595726778</v>
      </c>
      <c r="U56" s="4">
        <f t="shared" si="12"/>
        <v>-96011.281644565272</v>
      </c>
      <c r="V56" s="4">
        <f t="shared" si="12"/>
        <v>-97750.725020441605</v>
      </c>
      <c r="W56" s="4">
        <f t="shared" si="12"/>
        <v>-99565.988469269578</v>
      </c>
      <c r="X56" s="4">
        <f t="shared" si="12"/>
        <v>-101460.09140254423</v>
      </c>
      <c r="Y56" s="4">
        <f t="shared" si="12"/>
        <v>-103436.16687250769</v>
      </c>
      <c r="Z56" s="4">
        <f t="shared" si="12"/>
        <v>-105497.46568740623</v>
      </c>
      <c r="AA56" s="4">
        <f t="shared" si="12"/>
        <v>-107647.36067167163</v>
      </c>
      <c r="AB56" s="4">
        <f t="shared" ref="AB56:AF56" si="13">+AB54+AB53+AB52+AB51</f>
        <v>-109889.35107602422</v>
      </c>
      <c r="AC56" s="4">
        <f t="shared" si="13"/>
        <v>-112227.06714266501</v>
      </c>
      <c r="AD56" s="4">
        <f t="shared" si="13"/>
        <v>-114664.27483089862</v>
      </c>
      <c r="AE56" s="4">
        <f t="shared" si="13"/>
        <v>-117204.88070871049</v>
      </c>
      <c r="AF56" s="4">
        <f t="shared" si="13"/>
        <v>-119852.9370160088</v>
      </c>
    </row>
    <row r="57" spans="2:32" x14ac:dyDescent="0.3">
      <c r="B57" s="5" t="s">
        <v>46</v>
      </c>
      <c r="C57" s="4">
        <f>SUM(C47:C54)-C49</f>
        <v>-16036.540077453654</v>
      </c>
      <c r="D57" s="4">
        <f t="shared" ref="D57:AA57" si="14">SUM(D47:D54)-D49</f>
        <v>-15056.074830253652</v>
      </c>
      <c r="E57" s="4">
        <f t="shared" si="14"/>
        <v>-14059.677098221648</v>
      </c>
      <c r="F57" s="4">
        <f t="shared" si="14"/>
        <v>-13047.298350990211</v>
      </c>
      <c r="G57" s="4">
        <f t="shared" si="14"/>
        <v>-12018.901985606193</v>
      </c>
      <c r="H57" s="4">
        <f t="shared" si="14"/>
        <v>-10974.464095852934</v>
      </c>
      <c r="I57" s="4">
        <f t="shared" si="14"/>
        <v>-9913.9742771971796</v>
      </c>
      <c r="J57" s="4">
        <f t="shared" si="14"/>
        <v>-8837.4364688094938</v>
      </c>
      <c r="K57" s="4">
        <f t="shared" si="14"/>
        <v>-7744.8698341628769</v>
      </c>
      <c r="L57" s="4">
        <f t="shared" si="14"/>
        <v>-6636.3096817697515</v>
      </c>
      <c r="M57" s="4">
        <f t="shared" si="14"/>
        <v>-5511.8084276783193</v>
      </c>
      <c r="N57" s="4">
        <f t="shared" si="14"/>
        <v>-4371.4366014082771</v>
      </c>
      <c r="O57" s="4">
        <f t="shared" si="14"/>
        <v>-88593.321507022367</v>
      </c>
      <c r="P57" s="4">
        <f t="shared" si="14"/>
        <v>-2043.4602714890934</v>
      </c>
      <c r="Q57" s="4">
        <f t="shared" si="14"/>
        <v>-856.09709117696912</v>
      </c>
      <c r="R57" s="4">
        <f t="shared" si="14"/>
        <v>346.65166984045936</v>
      </c>
      <c r="S57" s="4">
        <f t="shared" si="14"/>
        <v>1564.6081793774501</v>
      </c>
      <c r="T57" s="4">
        <f t="shared" si="14"/>
        <v>2797.5694414911995</v>
      </c>
      <c r="U57" s="4">
        <f t="shared" si="14"/>
        <v>4045.3059337692684</v>
      </c>
      <c r="V57" s="4">
        <f t="shared" si="14"/>
        <v>5307.5601852429536</v>
      </c>
      <c r="W57" s="4">
        <f t="shared" si="14"/>
        <v>6584.045292585477</v>
      </c>
      <c r="X57" s="4">
        <f t="shared" si="14"/>
        <v>7874.4433721665264</v>
      </c>
      <c r="Y57" s="4">
        <f t="shared" si="14"/>
        <v>9178.4039454443991</v>
      </c>
      <c r="Z57" s="4">
        <f t="shared" si="14"/>
        <v>10495.542255084409</v>
      </c>
      <c r="AA57" s="4">
        <f t="shared" si="14"/>
        <v>11825.437509093725</v>
      </c>
      <c r="AB57" s="4">
        <f t="shared" ref="AB57:AF57" si="15">SUM(AB47:AB54)-AB49</f>
        <v>13167.631050164084</v>
      </c>
      <c r="AC57" s="4">
        <f t="shared" si="15"/>
        <v>14521.624447308946</v>
      </c>
      <c r="AD57" s="4">
        <f t="shared" si="15"/>
        <v>15886.877506774588</v>
      </c>
      <c r="AE57" s="4">
        <f t="shared" si="15"/>
        <v>17262.806199092884</v>
      </c>
      <c r="AF57" s="4">
        <f t="shared" si="15"/>
        <v>18648.780499028682</v>
      </c>
    </row>
    <row r="58" spans="2:32" x14ac:dyDescent="0.3">
      <c r="C58" s="4">
        <f t="shared" ref="C58" si="16">SUM(C48:C55)-C50</f>
        <v>-64210.436439927689</v>
      </c>
      <c r="D58" s="17">
        <v>0.88</v>
      </c>
      <c r="E58" s="17">
        <f>+D58+0.88</f>
        <v>1.76</v>
      </c>
      <c r="F58" s="17">
        <f t="shared" ref="F58:AA58" si="17">+E58+0.88</f>
        <v>2.64</v>
      </c>
      <c r="G58" s="17">
        <f t="shared" si="17"/>
        <v>3.52</v>
      </c>
      <c r="H58" s="17">
        <f t="shared" si="17"/>
        <v>4.4000000000000004</v>
      </c>
      <c r="I58" s="17">
        <f t="shared" si="17"/>
        <v>5.28</v>
      </c>
      <c r="J58" s="17">
        <f t="shared" si="17"/>
        <v>6.16</v>
      </c>
      <c r="K58" s="17">
        <f t="shared" si="17"/>
        <v>7.04</v>
      </c>
      <c r="L58" s="17">
        <f t="shared" si="17"/>
        <v>7.92</v>
      </c>
      <c r="M58" s="17">
        <f t="shared" si="17"/>
        <v>8.8000000000000007</v>
      </c>
      <c r="N58" s="17">
        <f t="shared" si="17"/>
        <v>9.6800000000000015</v>
      </c>
      <c r="O58" s="17">
        <f t="shared" si="17"/>
        <v>10.560000000000002</v>
      </c>
      <c r="P58" s="17">
        <f t="shared" si="17"/>
        <v>11.440000000000003</v>
      </c>
      <c r="Q58" s="17">
        <f t="shared" si="17"/>
        <v>12.320000000000004</v>
      </c>
      <c r="R58" s="17">
        <f t="shared" si="17"/>
        <v>13.200000000000005</v>
      </c>
      <c r="S58" s="17">
        <f t="shared" si="17"/>
        <v>14.080000000000005</v>
      </c>
      <c r="T58" s="17">
        <f t="shared" si="17"/>
        <v>14.960000000000006</v>
      </c>
      <c r="U58" s="17">
        <f t="shared" si="17"/>
        <v>15.840000000000007</v>
      </c>
      <c r="V58" s="17">
        <f t="shared" si="17"/>
        <v>16.720000000000006</v>
      </c>
      <c r="W58" s="17">
        <f t="shared" si="17"/>
        <v>17.600000000000005</v>
      </c>
      <c r="X58" s="17">
        <f t="shared" si="17"/>
        <v>18.480000000000004</v>
      </c>
      <c r="Y58" s="17">
        <f t="shared" si="17"/>
        <v>19.360000000000003</v>
      </c>
      <c r="Z58" s="17">
        <f t="shared" si="17"/>
        <v>20.240000000000002</v>
      </c>
      <c r="AA58" s="17">
        <f t="shared" si="17"/>
        <v>21.12</v>
      </c>
      <c r="AB58" s="17">
        <f t="shared" ref="AB58" si="18">+AA58+0.88</f>
        <v>22</v>
      </c>
      <c r="AC58" s="17">
        <f t="shared" ref="AC58" si="19">+AB58+0.88</f>
        <v>22.88</v>
      </c>
      <c r="AD58" s="17">
        <f t="shared" ref="AD58" si="20">+AC58+0.88</f>
        <v>23.759999999999998</v>
      </c>
      <c r="AE58" s="17">
        <f t="shared" ref="AE58" si="21">+AD58+0.88</f>
        <v>24.639999999999997</v>
      </c>
      <c r="AF58" s="17">
        <f t="shared" ref="AF58" si="22">+AE58+0.88</f>
        <v>25.519999999999996</v>
      </c>
    </row>
    <row r="59" spans="2:32" x14ac:dyDescent="0.3">
      <c r="B59" s="3" t="s">
        <v>45</v>
      </c>
      <c r="C59" s="4">
        <f>SUM(C47:C55)-C49-C54</f>
        <v>-9083.1963624740456</v>
      </c>
      <c r="D59" s="4">
        <f>SUM(D47:D55)-D49-D54</f>
        <v>-8102.7311152740294</v>
      </c>
      <c r="E59" s="4">
        <f t="shared" ref="E59:AE59" si="23">SUM(E47:E55)-E49-E54</f>
        <v>-7106.3333832420321</v>
      </c>
      <c r="F59" s="4">
        <f t="shared" si="23"/>
        <v>-6093.9546360105887</v>
      </c>
      <c r="G59" s="4">
        <f t="shared" si="23"/>
        <v>-5065.5582706265704</v>
      </c>
      <c r="H59" s="4">
        <f t="shared" si="23"/>
        <v>-4021.1203808733117</v>
      </c>
      <c r="I59" s="4">
        <f t="shared" si="23"/>
        <v>-2960.6305622175641</v>
      </c>
      <c r="J59" s="4">
        <f t="shared" si="23"/>
        <v>-1884.0927538298783</v>
      </c>
      <c r="K59" s="4">
        <f t="shared" si="23"/>
        <v>-791.52611918326147</v>
      </c>
      <c r="L59" s="4">
        <f t="shared" si="23"/>
        <v>317.03403320986399</v>
      </c>
      <c r="M59" s="4">
        <f t="shared" si="23"/>
        <v>1441.5352873012962</v>
      </c>
      <c r="N59" s="4">
        <f t="shared" si="23"/>
        <v>2581.9071135713384</v>
      </c>
      <c r="O59" s="4">
        <f t="shared" si="23"/>
        <v>-81639.97779204273</v>
      </c>
      <c r="P59" s="4">
        <f t="shared" si="23"/>
        <v>4909.883443490522</v>
      </c>
      <c r="Q59" s="4">
        <f t="shared" si="23"/>
        <v>6097.2466238026464</v>
      </c>
      <c r="R59" s="4">
        <f t="shared" si="23"/>
        <v>7299.9953848200748</v>
      </c>
      <c r="S59" s="4">
        <f t="shared" si="23"/>
        <v>8517.9518943570656</v>
      </c>
      <c r="T59" s="4">
        <f t="shared" si="23"/>
        <v>9750.913156470815</v>
      </c>
      <c r="U59" s="4">
        <f t="shared" si="23"/>
        <v>10998.649648748884</v>
      </c>
      <c r="V59" s="4">
        <f t="shared" si="23"/>
        <v>12260.903900222569</v>
      </c>
      <c r="W59" s="4">
        <f t="shared" si="23"/>
        <v>13537.389007565092</v>
      </c>
      <c r="X59" s="4">
        <f t="shared" si="23"/>
        <v>14827.787087146142</v>
      </c>
      <c r="Y59" s="4">
        <f t="shared" si="23"/>
        <v>16131.747660424022</v>
      </c>
      <c r="Z59" s="4">
        <f t="shared" si="23"/>
        <v>17448.885970064031</v>
      </c>
      <c r="AA59" s="4">
        <f t="shared" si="23"/>
        <v>18778.781224073333</v>
      </c>
      <c r="AB59" s="4">
        <f t="shared" si="23"/>
        <v>20120.974765143692</v>
      </c>
      <c r="AC59" s="4">
        <f t="shared" si="23"/>
        <v>21474.968162288555</v>
      </c>
      <c r="AD59" s="4">
        <f t="shared" si="23"/>
        <v>22840.221221754196</v>
      </c>
      <c r="AE59" s="4">
        <f t="shared" si="23"/>
        <v>24216.149914072492</v>
      </c>
      <c r="AF59" s="4">
        <f>SUM(AF47:AF55)-AF49-AF54</f>
        <v>25602.12421400829</v>
      </c>
    </row>
    <row r="60" spans="2:32" x14ac:dyDescent="0.3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2:32" x14ac:dyDescent="0.3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2:32" x14ac:dyDescent="0.3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2:32" x14ac:dyDescent="0.3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2:32" x14ac:dyDescent="0.3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2:27" x14ac:dyDescent="0.3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2:27" x14ac:dyDescent="0.3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2:27" x14ac:dyDescent="0.3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2:27" x14ac:dyDescent="0.3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2:27" x14ac:dyDescent="0.3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2:27" x14ac:dyDescent="0.3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2:27" x14ac:dyDescent="0.3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>
        <f>PMT(C28,13,O51)</f>
        <v>8028.0579402644935</v>
      </c>
      <c r="P71" s="17">
        <f>+O71</f>
        <v>8028.0579402644935</v>
      </c>
      <c r="Q71" s="17">
        <f t="shared" ref="Q71:AA71" si="24">+P71</f>
        <v>8028.0579402644935</v>
      </c>
      <c r="R71" s="17">
        <f t="shared" si="24"/>
        <v>8028.0579402644935</v>
      </c>
      <c r="S71" s="17">
        <f t="shared" si="24"/>
        <v>8028.0579402644935</v>
      </c>
      <c r="T71" s="17">
        <f t="shared" si="24"/>
        <v>8028.0579402644935</v>
      </c>
      <c r="U71" s="17">
        <f t="shared" si="24"/>
        <v>8028.0579402644935</v>
      </c>
      <c r="V71" s="17">
        <f t="shared" si="24"/>
        <v>8028.0579402644935</v>
      </c>
      <c r="W71" s="17">
        <f t="shared" si="24"/>
        <v>8028.0579402644935</v>
      </c>
      <c r="X71" s="17">
        <f t="shared" si="24"/>
        <v>8028.0579402644935</v>
      </c>
      <c r="Y71" s="17">
        <f t="shared" si="24"/>
        <v>8028.0579402644935</v>
      </c>
      <c r="Z71" s="17">
        <f t="shared" si="24"/>
        <v>8028.0579402644935</v>
      </c>
      <c r="AA71" s="17">
        <f t="shared" si="24"/>
        <v>8028.0579402644935</v>
      </c>
    </row>
    <row r="72" spans="2:27" x14ac:dyDescent="0.3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2:27" x14ac:dyDescent="0.3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2:27" x14ac:dyDescent="0.3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2:27" x14ac:dyDescent="0.3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2:27" x14ac:dyDescent="0.3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2:27" x14ac:dyDescent="0.3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2:27" x14ac:dyDescent="0.3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80" spans="2:27" x14ac:dyDescent="0.3">
      <c r="B80" s="3" t="s">
        <v>33</v>
      </c>
    </row>
    <row r="81" spans="2:27" x14ac:dyDescent="0.3">
      <c r="B81" s="3" t="str">
        <f>+B49</f>
        <v>total indtægter</v>
      </c>
      <c r="C81" s="17">
        <f t="shared" ref="C81:AA81" si="25">+C49</f>
        <v>58772.7</v>
      </c>
      <c r="D81" s="17">
        <f t="shared" si="25"/>
        <v>60535.880999999994</v>
      </c>
      <c r="E81" s="17">
        <f t="shared" si="25"/>
        <v>62351.957430000002</v>
      </c>
      <c r="F81" s="17">
        <f t="shared" si="25"/>
        <v>64222.516152900003</v>
      </c>
      <c r="G81" s="17">
        <f t="shared" si="25"/>
        <v>66149.191637487005</v>
      </c>
      <c r="H81" s="17">
        <f t="shared" si="25"/>
        <v>68133.667386611618</v>
      </c>
      <c r="I81" s="17">
        <f t="shared" si="25"/>
        <v>70177.677408209958</v>
      </c>
      <c r="J81" s="17">
        <f t="shared" si="25"/>
        <v>72283.007730456273</v>
      </c>
      <c r="K81" s="17">
        <f t="shared" si="25"/>
        <v>74451.497962369962</v>
      </c>
      <c r="L81" s="17">
        <f t="shared" si="25"/>
        <v>76685.04290124106</v>
      </c>
      <c r="M81" s="17">
        <f t="shared" si="25"/>
        <v>78985.594188278279</v>
      </c>
      <c r="N81" s="17">
        <f t="shared" si="25"/>
        <v>81355.162013926631</v>
      </c>
      <c r="O81" s="17">
        <f t="shared" si="25"/>
        <v>83795.816874344426</v>
      </c>
      <c r="P81" s="17">
        <f t="shared" si="25"/>
        <v>86309.691380574775</v>
      </c>
      <c r="Q81" s="17">
        <f t="shared" si="25"/>
        <v>88898.982121992012</v>
      </c>
      <c r="R81" s="17">
        <f t="shared" si="25"/>
        <v>91565.951585651783</v>
      </c>
      <c r="S81" s="17">
        <f t="shared" si="25"/>
        <v>94312.930133221336</v>
      </c>
      <c r="T81" s="17">
        <f t="shared" si="25"/>
        <v>97142.318037217978</v>
      </c>
      <c r="U81" s="17">
        <f t="shared" si="25"/>
        <v>100056.58757833451</v>
      </c>
      <c r="V81" s="17">
        <f t="shared" si="25"/>
        <v>103058.28520568454</v>
      </c>
      <c r="W81" s="17">
        <f t="shared" si="25"/>
        <v>106150.03376185508</v>
      </c>
      <c r="X81" s="17">
        <f t="shared" si="25"/>
        <v>109334.53477471074</v>
      </c>
      <c r="Y81" s="17">
        <f t="shared" si="25"/>
        <v>112614.57081795207</v>
      </c>
      <c r="Z81" s="17">
        <f t="shared" si="25"/>
        <v>115993.00794249064</v>
      </c>
      <c r="AA81" s="17">
        <f t="shared" si="25"/>
        <v>119472.79818076536</v>
      </c>
    </row>
    <row r="82" spans="2:27" hidden="1" x14ac:dyDescent="0.3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2:27" x14ac:dyDescent="0.3">
      <c r="B83" s="3" t="str">
        <f>+B56</f>
        <v>total udgifter</v>
      </c>
      <c r="C83" s="17">
        <f>+C56*-1</f>
        <v>74809.240077453651</v>
      </c>
      <c r="D83" s="17">
        <f t="shared" ref="D83:N83" si="26">+D56*-1</f>
        <v>75591.955830253661</v>
      </c>
      <c r="E83" s="17">
        <f t="shared" si="26"/>
        <v>76411.63452822165</v>
      </c>
      <c r="F83" s="17">
        <f t="shared" si="26"/>
        <v>77269.814503890215</v>
      </c>
      <c r="G83" s="17">
        <f t="shared" si="26"/>
        <v>78168.093623093198</v>
      </c>
      <c r="H83" s="17">
        <f t="shared" si="26"/>
        <v>79108.131482464552</v>
      </c>
      <c r="I83" s="17">
        <f t="shared" si="26"/>
        <v>80091.651685407138</v>
      </c>
      <c r="J83" s="17">
        <f t="shared" si="26"/>
        <v>81120.444199265767</v>
      </c>
      <c r="K83" s="17">
        <f t="shared" si="26"/>
        <v>82196.367796532824</v>
      </c>
      <c r="L83" s="17">
        <f t="shared" si="26"/>
        <v>83321.352583010826</v>
      </c>
      <c r="M83" s="17">
        <f t="shared" si="26"/>
        <v>84497.402615956598</v>
      </c>
      <c r="N83" s="17">
        <f t="shared" si="26"/>
        <v>85726.598615334908</v>
      </c>
      <c r="O83" s="17">
        <f>+O56*-1+O51+O71</f>
        <v>95039.15871168075</v>
      </c>
      <c r="P83" s="17">
        <f t="shared" ref="P83:AA83" si="27">+P56*-1+P51+P71</f>
        <v>96381.209592328363</v>
      </c>
      <c r="Q83" s="17">
        <f t="shared" si="27"/>
        <v>97783.137153433476</v>
      </c>
      <c r="R83" s="17">
        <f t="shared" si="27"/>
        <v>99247.357856075803</v>
      </c>
      <c r="S83" s="17">
        <f t="shared" si="27"/>
        <v>100776.37989410837</v>
      </c>
      <c r="T83" s="17">
        <f t="shared" si="27"/>
        <v>102372.80653599127</v>
      </c>
      <c r="U83" s="17">
        <f t="shared" si="27"/>
        <v>104039.33958482977</v>
      </c>
      <c r="V83" s="17">
        <f t="shared" si="27"/>
        <v>105778.7829607061</v>
      </c>
      <c r="W83" s="17">
        <f t="shared" si="27"/>
        <v>107594.04640953407</v>
      </c>
      <c r="X83" s="17">
        <f t="shared" si="27"/>
        <v>109488.14934280873</v>
      </c>
      <c r="Y83" s="17">
        <f t="shared" si="27"/>
        <v>111464.22481277218</v>
      </c>
      <c r="Z83" s="17">
        <f t="shared" si="27"/>
        <v>113525.52362767073</v>
      </c>
      <c r="AA83" s="17">
        <f t="shared" si="27"/>
        <v>115675.41861193613</v>
      </c>
    </row>
    <row r="84" spans="2:27" x14ac:dyDescent="0.3">
      <c r="B84" s="3" t="str">
        <f>+B57</f>
        <v>Netto Cashflow 25 år</v>
      </c>
      <c r="C84" s="17">
        <f t="shared" ref="C84:AA84" si="28">+C57</f>
        <v>-16036.540077453654</v>
      </c>
      <c r="D84" s="17">
        <f t="shared" si="28"/>
        <v>-15056.074830253652</v>
      </c>
      <c r="E84" s="17">
        <f t="shared" si="28"/>
        <v>-14059.677098221648</v>
      </c>
      <c r="F84" s="17">
        <f t="shared" si="28"/>
        <v>-13047.298350990211</v>
      </c>
      <c r="G84" s="17">
        <f t="shared" si="28"/>
        <v>-12018.901985606193</v>
      </c>
      <c r="H84" s="17">
        <f t="shared" si="28"/>
        <v>-10974.464095852934</v>
      </c>
      <c r="I84" s="17">
        <f t="shared" si="28"/>
        <v>-9913.9742771971796</v>
      </c>
      <c r="J84" s="17">
        <f t="shared" si="28"/>
        <v>-8837.4364688094938</v>
      </c>
      <c r="K84" s="17">
        <f t="shared" si="28"/>
        <v>-7744.8698341628769</v>
      </c>
      <c r="L84" s="17">
        <f t="shared" si="28"/>
        <v>-6636.3096817697515</v>
      </c>
      <c r="M84" s="17">
        <f t="shared" si="28"/>
        <v>-5511.8084276783193</v>
      </c>
      <c r="N84" s="17">
        <f t="shared" si="28"/>
        <v>-4371.4366014082771</v>
      </c>
      <c r="O84" s="17">
        <f t="shared" si="28"/>
        <v>-88593.321507022367</v>
      </c>
      <c r="P84" s="17">
        <f t="shared" si="28"/>
        <v>-2043.4602714890934</v>
      </c>
      <c r="Q84" s="17">
        <f t="shared" si="28"/>
        <v>-856.09709117696912</v>
      </c>
      <c r="R84" s="17">
        <f t="shared" si="28"/>
        <v>346.65166984045936</v>
      </c>
      <c r="S84" s="17">
        <f t="shared" si="28"/>
        <v>1564.6081793774501</v>
      </c>
      <c r="T84" s="17">
        <f t="shared" si="28"/>
        <v>2797.5694414911995</v>
      </c>
      <c r="U84" s="17">
        <f t="shared" si="28"/>
        <v>4045.3059337692684</v>
      </c>
      <c r="V84" s="17">
        <f t="shared" si="28"/>
        <v>5307.5601852429536</v>
      </c>
      <c r="W84" s="17">
        <f t="shared" si="28"/>
        <v>6584.045292585477</v>
      </c>
      <c r="X84" s="17">
        <f t="shared" si="28"/>
        <v>7874.4433721665264</v>
      </c>
      <c r="Y84" s="17">
        <f t="shared" si="28"/>
        <v>9178.4039454443991</v>
      </c>
      <c r="Z84" s="17">
        <f t="shared" si="28"/>
        <v>10495.542255084409</v>
      </c>
      <c r="AA84" s="17">
        <f t="shared" si="28"/>
        <v>11825.437509093725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70" zoomScaleNormal="70" workbookViewId="0">
      <selection activeCell="E29" sqref="E29"/>
    </sheetView>
  </sheetViews>
  <sheetFormatPr defaultRowHeight="13.5" x14ac:dyDescent="0.3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AA33E596B5094ABD1E13A6D8A89AB9" ma:contentTypeVersion="19" ma:contentTypeDescription="Opret et nyt dokument." ma:contentTypeScope="" ma:versionID="02cd6e3c1f36c09771e364cb1602dc09">
  <xsd:schema xmlns:xsd="http://www.w3.org/2001/XMLSchema" xmlns:xs="http://www.w3.org/2001/XMLSchema" xmlns:p="http://schemas.microsoft.com/office/2006/metadata/properties" xmlns:ns2="2f3f9de7-e691-4bfd-be88-c5adf699948d" xmlns:ns3="ffd02f98-4868-4b92-95a3-a79e29ca1a02" targetNamespace="http://schemas.microsoft.com/office/2006/metadata/properties" ma:root="true" ma:fieldsID="cde3bcf8c993868d56b8a0d71e5cf65d" ns2:_="" ns3:_="">
    <xsd:import namespace="2f3f9de7-e691-4bfd-be88-c5adf699948d"/>
    <xsd:import namespace="ffd02f98-4868-4b92-95a3-a79e29ca1a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Asbuilt" minOccurs="0"/>
                <xsd:element ref="ns2:Tid" minOccurs="0"/>
                <xsd:element ref="ns2:lcf76f155ced4ddcb4097134ff3c332f" minOccurs="0"/>
                <xsd:element ref="ns3:TaxCatchAll" minOccurs="0"/>
                <xsd:element ref="ns2: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f9de7-e691-4bfd-be88-c5adf69994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Asbuilt" ma:index="21" nillable="true" ma:displayName="As built" ma:format="Dropdown" ma:internalName="Asbuilt">
      <xsd:simpleType>
        <xsd:restriction base="dms:Text">
          <xsd:maxLength value="255"/>
        </xsd:restriction>
      </xsd:simpleType>
    </xsd:element>
    <xsd:element name="Tid" ma:index="22" nillable="true" ma:displayName="Tid" ma:format="DateOnly" ma:internalName="Tid">
      <xsd:simpleType>
        <xsd:restriction base="dms:DateTime"/>
      </xsd:simpleType>
    </xsd:element>
    <xsd:element name="lcf76f155ced4ddcb4097134ff3c332f" ma:index="24" nillable="true" ma:taxonomy="true" ma:internalName="lcf76f155ced4ddcb4097134ff3c332f" ma:taxonomyFieldName="MediaServiceImageTags" ma:displayName="Billedmærker" ma:readOnly="false" ma:fieldId="{5cf76f15-5ced-4ddc-b409-7134ff3c332f}" ma:taxonomyMulti="true" ma:sspId="3fe80aff-8094-4148-a725-0517f31fcd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ype" ma:index="26" nillable="true" ma:displayName="type" ma:format="Thumbnail" ma:internalName="typ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d02f98-4868-4b92-95a3-a79e29ca1a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ef501d21-bd59-4427-bf4a-fa5c797ee2ac}" ma:internalName="TaxCatchAll" ma:showField="CatchAllData" ma:web="ffd02f98-4868-4b92-95a3-a79e29ca1a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 xmlns="2f3f9de7-e691-4bfd-be88-c5adf699948d" xsi:nil="true"/>
    <Asbuilt xmlns="2f3f9de7-e691-4bfd-be88-c5adf699948d" xsi:nil="true"/>
    <Tid xmlns="2f3f9de7-e691-4bfd-be88-c5adf699948d" xsi:nil="true"/>
    <lcf76f155ced4ddcb4097134ff3c332f xmlns="2f3f9de7-e691-4bfd-be88-c5adf699948d">
      <Terms xmlns="http://schemas.microsoft.com/office/infopath/2007/PartnerControls"/>
    </lcf76f155ced4ddcb4097134ff3c332f>
    <TaxCatchAll xmlns="ffd02f98-4868-4b92-95a3-a79e29ca1a02" xsi:nil="true"/>
  </documentManagement>
</p:properties>
</file>

<file path=customXml/itemProps1.xml><?xml version="1.0" encoding="utf-8"?>
<ds:datastoreItem xmlns:ds="http://schemas.openxmlformats.org/officeDocument/2006/customXml" ds:itemID="{621E0AA6-2C28-48D9-B147-54C46F1C0BB4}"/>
</file>

<file path=customXml/itemProps2.xml><?xml version="1.0" encoding="utf-8"?>
<ds:datastoreItem xmlns:ds="http://schemas.openxmlformats.org/officeDocument/2006/customXml" ds:itemID="{5B0C285E-E1E1-476D-8A1F-19C01EBCB73F}"/>
</file>

<file path=customXml/itemProps3.xml><?xml version="1.0" encoding="utf-8"?>
<ds:datastoreItem xmlns:ds="http://schemas.openxmlformats.org/officeDocument/2006/customXml" ds:itemID="{17CA932F-AED6-4C65-A565-AF04D43306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Case juni 2022</vt:lpstr>
      <vt:lpstr>detailbudget</vt:lpstr>
      <vt:lpstr>Beregning KL</vt:lpstr>
      <vt:lpstr>Likviditet</vt:lpstr>
    </vt:vector>
  </TitlesOfParts>
  <Company>Aarhus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aztle04</dc:creator>
  <cp:lastModifiedBy>Pierre Lecuelle</cp:lastModifiedBy>
  <cp:lastPrinted>2022-06-21T11:47:59Z</cp:lastPrinted>
  <dcterms:created xsi:type="dcterms:W3CDTF">2014-12-19T09:03:41Z</dcterms:created>
  <dcterms:modified xsi:type="dcterms:W3CDTF">2023-02-02T14:25:05Z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0x01010071AA33E596B5094ABD1E13A6D8A89AB9</vt:lpwstr>
  </property>
</Properties>
</file>